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calcChain+xml" PartName="/xl/calcChain.xml"/>
  <Override ContentType="application/vnd.openxmlformats-package.core-properties+xml" PartName="/docProps/core.xml"/>
  <Override ContentType="application/vnd.openxmlformats-officedocument.extended-properties+xml" PartName="/docProps/app.xml"/>
  <Default ContentType="image/jpeg" Extension="jpeg"/>
  <Override ContentType="application/vnd.openxmlformats-officedocument.custom-properties+xml" PartName="/docProps/custom.xml"/>
</Types>
</file>

<file path=_rels/.rels><?xml version="1.0" encoding="UTF-8" standalone="yes" ?><Relationships xmlns="http://schemas.openxmlformats.org/package/2006/relationships"><Relationship Id="rId3" Target="docProps/app.xml" Type="http://schemas.openxmlformats.org/officeDocument/2006/relationships/extended-properties"/><Relationship Id="rId2" Target="docProps/core.xml" Type="http://schemas.openxmlformats.org/package/2006/relationships/metadata/core-properties"/><Relationship Id="rId1" Target="xl/workbook.xml" Type="http://schemas.openxmlformats.org/officeDocument/2006/relationships/officeDocument"/><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D:\DATA\camila\AlcaldíaSanCristobal\SitioWeb\29_julio\"/>
    </mc:Choice>
  </mc:AlternateContent>
  <bookViews>
    <workbookView xWindow="0" yWindow="0" windowWidth="20490" windowHeight="7125" tabRatio="886" firstSheet="8" activeTab="12"/>
  </bookViews>
  <sheets>
    <sheet name="RELACION ENTREGA PAPEL ALSC" sheetId="37" r:id="rId1"/>
    <sheet name="CONSUMO PAPEL 2020" sheetId="39" r:id="rId2"/>
    <sheet name="HISTORICO AGUA" sheetId="27" r:id="rId3"/>
    <sheet name="CONSUMO AGUA 2020-I" sheetId="42" r:id="rId4"/>
    <sheet name="HISTORICO ENERGIA" sheetId="6" r:id="rId5"/>
    <sheet name="CONSUMO ENERGIA 2020-I" sheetId="43" r:id="rId6"/>
    <sheet name="HISTORICO INTERNET-TELEFONIA" sheetId="2" r:id="rId7"/>
    <sheet name="INTERNET-TELEFONIA 2020-I" sheetId="44" r:id="rId8"/>
    <sheet name="FOTOCOPIADO" sheetId="19" r:id="rId9"/>
    <sheet name="COMSUMO COMBUSTIBLE ALSC 2020-I" sheetId="46" r:id="rId10"/>
    <sheet name="HISTORICO MANTENIMIENTO" sheetId="47" r:id="rId11"/>
    <sheet name="MANTENIMIENTO 2020-I" sheetId="38" r:id="rId12"/>
    <sheet name="COMUNICACIONES IiI-2019" sheetId="20" r:id="rId13"/>
  </sheets>
  <definedNames>
    <definedName name="_xlnm._FilterDatabase" localSheetId="6" hidden="1">'HISTORICO INTERNET-TELEFONIA'!$A$20:$O$20</definedName>
    <definedName name="_xlnm._FilterDatabase" localSheetId="7" hidden="1">'INTERNET-TELEFONIA 2020-I'!#REF!</definedName>
    <definedName name="valuevx">42.314159</definedName>
  </definedNames>
  <calcPr calcId="162913"/>
</workbook>
</file>

<file path=xl/calcChain.xml><?xml version="1.0" encoding="utf-8"?>
<calcChain xmlns="http://schemas.openxmlformats.org/spreadsheetml/2006/main">
  <c r="L13" i="43" l="1"/>
  <c r="K13" i="43"/>
  <c r="I13" i="43"/>
  <c r="H13" i="43"/>
  <c r="L12" i="43"/>
  <c r="K12" i="43"/>
  <c r="I12" i="43"/>
  <c r="H12" i="43"/>
  <c r="L11" i="43"/>
  <c r="K11" i="43"/>
  <c r="I11" i="43"/>
  <c r="H11" i="43"/>
  <c r="B8" i="42"/>
  <c r="I10" i="42"/>
  <c r="C8" i="42" s="1"/>
  <c r="L9" i="42"/>
  <c r="C9" i="42" s="1"/>
  <c r="K9" i="42"/>
  <c r="B9" i="42" s="1"/>
  <c r="I9" i="42"/>
  <c r="C7" i="42" s="1"/>
  <c r="H9" i="42"/>
  <c r="B7" i="42" s="1"/>
  <c r="N6" i="42"/>
  <c r="N5" i="42"/>
  <c r="N4" i="42"/>
  <c r="D15" i="27" l="1"/>
  <c r="D14" i="27"/>
  <c r="D13" i="27"/>
  <c r="D12" i="27"/>
  <c r="D11" i="27"/>
  <c r="D10" i="27"/>
  <c r="AN10" i="37"/>
  <c r="AN11" i="37"/>
  <c r="AN12" i="37"/>
  <c r="AN13" i="37"/>
  <c r="AN14" i="37"/>
  <c r="AN15" i="37"/>
  <c r="AN16" i="37"/>
  <c r="AN17" i="37"/>
  <c r="AN18" i="37"/>
  <c r="AN19" i="37"/>
  <c r="AN20" i="37"/>
  <c r="AN21" i="37"/>
  <c r="AN22" i="37"/>
  <c r="AN23" i="37"/>
  <c r="AN24" i="37"/>
  <c r="AN25" i="37"/>
  <c r="AN26" i="37"/>
  <c r="AN27" i="37"/>
  <c r="AN28" i="37"/>
  <c r="AN29" i="37"/>
  <c r="AN30" i="37"/>
  <c r="AN31" i="37"/>
  <c r="AN32" i="37"/>
  <c r="AN34" i="37"/>
  <c r="AN35" i="37"/>
  <c r="AN36" i="37"/>
  <c r="AN37" i="37"/>
  <c r="AN38" i="37"/>
  <c r="AN39" i="37"/>
  <c r="AN40" i="37"/>
  <c r="AN41" i="37"/>
  <c r="AN9" i="37"/>
  <c r="N43" i="37"/>
  <c r="I43" i="37"/>
  <c r="H43" i="37"/>
  <c r="F42" i="37"/>
  <c r="E42" i="37"/>
  <c r="AN42" i="37" s="1"/>
  <c r="E33" i="37"/>
  <c r="AN33" i="37" s="1"/>
  <c r="BK49" i="39"/>
  <c r="BF49" i="39"/>
  <c r="BA49" i="39"/>
  <c r="AV49" i="39"/>
  <c r="AQ49" i="39"/>
  <c r="AL49" i="39"/>
  <c r="AG49" i="39"/>
  <c r="AB48" i="39"/>
  <c r="W48" i="39"/>
  <c r="R48" i="39"/>
  <c r="M48" i="39"/>
  <c r="H48" i="39"/>
  <c r="AB47" i="39"/>
  <c r="W47" i="39"/>
  <c r="R47" i="39"/>
  <c r="M47" i="39"/>
  <c r="H47" i="39"/>
  <c r="AB46" i="39"/>
  <c r="W46" i="39"/>
  <c r="O46" i="39"/>
  <c r="R46" i="39" s="1"/>
  <c r="M46" i="39"/>
  <c r="E46" i="39"/>
  <c r="H46" i="39" s="1"/>
  <c r="AB45" i="39"/>
  <c r="W45" i="39"/>
  <c r="O45" i="39"/>
  <c r="R45" i="39" s="1"/>
  <c r="M45" i="39"/>
  <c r="E45" i="39"/>
  <c r="H45" i="39" s="1"/>
  <c r="AB44" i="39"/>
  <c r="W44" i="39"/>
  <c r="R44" i="39"/>
  <c r="M44" i="39"/>
  <c r="H44" i="39"/>
  <c r="AB43" i="39"/>
  <c r="W43" i="39"/>
  <c r="R43" i="39"/>
  <c r="M43" i="39"/>
  <c r="H43" i="39"/>
  <c r="AB42" i="39"/>
  <c r="W42" i="39"/>
  <c r="R42" i="39"/>
  <c r="M42" i="39"/>
  <c r="H42" i="39"/>
  <c r="AB41" i="39"/>
  <c r="W41" i="39"/>
  <c r="R41" i="39"/>
  <c r="M41" i="39"/>
  <c r="H41" i="39"/>
  <c r="AB40" i="39"/>
  <c r="W40" i="39"/>
  <c r="R40" i="39"/>
  <c r="M40" i="39"/>
  <c r="H40" i="39"/>
  <c r="AB39" i="39"/>
  <c r="W39" i="39"/>
  <c r="R39" i="39"/>
  <c r="M39" i="39"/>
  <c r="H39" i="39"/>
  <c r="AB38" i="39"/>
  <c r="W38" i="39"/>
  <c r="R38" i="39"/>
  <c r="M38" i="39"/>
  <c r="H38" i="39"/>
  <c r="AB37" i="39"/>
  <c r="W37" i="39"/>
  <c r="R37" i="39"/>
  <c r="M37" i="39"/>
  <c r="H37" i="39"/>
  <c r="AB36" i="39"/>
  <c r="W36" i="39"/>
  <c r="R36" i="39"/>
  <c r="M36" i="39"/>
  <c r="H36" i="39"/>
  <c r="AB35" i="39"/>
  <c r="W35" i="39"/>
  <c r="R35" i="39"/>
  <c r="M35" i="39"/>
  <c r="H35" i="39"/>
  <c r="AB34" i="39"/>
  <c r="W34" i="39"/>
  <c r="R34" i="39"/>
  <c r="M34" i="39"/>
  <c r="H34" i="39"/>
  <c r="AB33" i="39"/>
  <c r="W33" i="39"/>
  <c r="R33" i="39"/>
  <c r="M33" i="39"/>
  <c r="H33" i="39"/>
  <c r="AB32" i="39"/>
  <c r="W32" i="39"/>
  <c r="R32" i="39"/>
  <c r="M32" i="39"/>
  <c r="H32" i="39"/>
  <c r="AB31" i="39"/>
  <c r="W31" i="39"/>
  <c r="R31" i="39"/>
  <c r="M31" i="39"/>
  <c r="H31" i="39"/>
  <c r="AB30" i="39"/>
  <c r="W30" i="39"/>
  <c r="R30" i="39"/>
  <c r="M30" i="39"/>
  <c r="H30" i="39"/>
  <c r="AB29" i="39"/>
  <c r="W29" i="39"/>
  <c r="R29" i="39"/>
  <c r="M29" i="39"/>
  <c r="H29" i="39"/>
  <c r="AB28" i="39"/>
  <c r="W28" i="39"/>
  <c r="R28" i="39"/>
  <c r="M28" i="39"/>
  <c r="H28" i="39"/>
  <c r="AB27" i="39"/>
  <c r="W27" i="39"/>
  <c r="R27" i="39"/>
  <c r="L27" i="39"/>
  <c r="M27" i="39" s="1"/>
  <c r="H27" i="39"/>
  <c r="AB26" i="39"/>
  <c r="W26" i="39"/>
  <c r="R26" i="39"/>
  <c r="M26" i="39"/>
  <c r="H26" i="39"/>
  <c r="AB25" i="39"/>
  <c r="W25" i="39"/>
  <c r="R25" i="39"/>
  <c r="M25" i="39"/>
  <c r="H25" i="39"/>
  <c r="AB24" i="39"/>
  <c r="W24" i="39"/>
  <c r="R24" i="39"/>
  <c r="M24" i="39"/>
  <c r="H24" i="39"/>
  <c r="AB23" i="39"/>
  <c r="W23" i="39"/>
  <c r="R23" i="39"/>
  <c r="M23" i="39"/>
  <c r="H23" i="39"/>
  <c r="AB22" i="39"/>
  <c r="W22" i="39"/>
  <c r="R22" i="39"/>
  <c r="M22" i="39"/>
  <c r="H22" i="39"/>
  <c r="AB21" i="39"/>
  <c r="W21" i="39"/>
  <c r="R21" i="39"/>
  <c r="M21" i="39"/>
  <c r="H21" i="39"/>
  <c r="AB20" i="39"/>
  <c r="W20" i="39"/>
  <c r="R20" i="39"/>
  <c r="M20" i="39"/>
  <c r="H20" i="39"/>
  <c r="AB19" i="39"/>
  <c r="W19" i="39"/>
  <c r="R19" i="39"/>
  <c r="M19" i="39"/>
  <c r="H19" i="39"/>
  <c r="AB18" i="39"/>
  <c r="W18" i="39"/>
  <c r="R18" i="39"/>
  <c r="M18" i="39"/>
  <c r="H18" i="39"/>
  <c r="AB17" i="39"/>
  <c r="W17" i="39"/>
  <c r="R17" i="39"/>
  <c r="M17" i="39"/>
  <c r="H17" i="39"/>
  <c r="AB16" i="39"/>
  <c r="W16" i="39"/>
  <c r="BL16" i="39" s="1"/>
  <c r="R16" i="39"/>
  <c r="M16" i="39"/>
  <c r="H16" i="39"/>
  <c r="AB15" i="39"/>
  <c r="W15" i="39"/>
  <c r="R15" i="39"/>
  <c r="M15" i="39"/>
  <c r="H15" i="39"/>
  <c r="AB14" i="39"/>
  <c r="W14" i="39"/>
  <c r="R14" i="39"/>
  <c r="M14" i="39"/>
  <c r="H14" i="39"/>
  <c r="AB13" i="39"/>
  <c r="W13" i="39"/>
  <c r="R13" i="39"/>
  <c r="M13" i="39"/>
  <c r="H13" i="39"/>
  <c r="AB12" i="39"/>
  <c r="W12" i="39"/>
  <c r="W49" i="39" s="1"/>
  <c r="R12" i="39"/>
  <c r="M12" i="39"/>
  <c r="H12" i="39"/>
  <c r="BL8" i="39"/>
  <c r="R49" i="39" l="1"/>
  <c r="BM22" i="39"/>
  <c r="E43" i="37"/>
  <c r="BL20" i="39"/>
  <c r="BL31" i="39"/>
  <c r="BL35" i="39"/>
  <c r="BL39" i="39"/>
  <c r="BL43" i="39"/>
  <c r="BL45" i="39"/>
  <c r="BL48" i="39"/>
  <c r="BL24" i="39"/>
  <c r="BL28" i="39"/>
  <c r="BL32" i="39"/>
  <c r="BL36" i="39"/>
  <c r="H49" i="39"/>
  <c r="BL33" i="39"/>
  <c r="BL37" i="39"/>
  <c r="BL40" i="39"/>
  <c r="BM39" i="39" s="1"/>
  <c r="BL44" i="39"/>
  <c r="BM43" i="39" s="1"/>
  <c r="BL47" i="39"/>
  <c r="BM47" i="39" s="1"/>
  <c r="BL27" i="39"/>
  <c r="M49" i="39"/>
  <c r="BL13" i="39"/>
  <c r="BL17" i="39"/>
  <c r="BM16" i="39" s="1"/>
  <c r="BL21" i="39"/>
  <c r="BM20" i="39" s="1"/>
  <c r="BL25" i="39"/>
  <c r="BL29" i="39"/>
  <c r="BL14" i="39"/>
  <c r="BL15" i="39"/>
  <c r="BL18" i="39"/>
  <c r="BM18" i="39" s="1"/>
  <c r="BL19" i="39"/>
  <c r="BL23" i="39"/>
  <c r="BL26" i="39"/>
  <c r="BL30" i="39"/>
  <c r="BL34" i="39"/>
  <c r="BL38" i="39"/>
  <c r="BL41" i="39"/>
  <c r="BL42" i="39"/>
  <c r="AN43" i="37"/>
  <c r="BL46" i="39"/>
  <c r="BM45" i="39" s="1"/>
  <c r="BL12" i="39"/>
  <c r="BM12" i="39" s="1"/>
  <c r="AB49" i="39"/>
  <c r="BM23" i="39" l="1"/>
  <c r="BM49" i="39" s="1"/>
  <c r="BM41" i="39"/>
  <c r="BM14" i="39"/>
  <c r="AM43" i="37" l="1"/>
  <c r="AL43" i="37"/>
  <c r="AJ43" i="37"/>
  <c r="AD43" i="37"/>
  <c r="AC43" i="37"/>
  <c r="AA43" i="37"/>
  <c r="Z43" i="37"/>
  <c r="U43" i="37"/>
  <c r="T43" i="37"/>
  <c r="R43" i="37"/>
  <c r="Q43" i="37"/>
  <c r="O43" i="37"/>
  <c r="L43" i="37"/>
  <c r="AI43" i="37"/>
  <c r="AG43" i="37"/>
  <c r="F43" i="37"/>
  <c r="AF43" i="37"/>
  <c r="K43" i="37"/>
  <c r="L49" i="27" l="1"/>
  <c r="K49" i="27"/>
  <c r="L50" i="27"/>
  <c r="K50" i="27"/>
  <c r="R42" i="6"/>
  <c r="Q42" i="6"/>
  <c r="R40" i="6"/>
  <c r="Q40" i="6"/>
  <c r="R41" i="6"/>
  <c r="Q41" i="6"/>
  <c r="I49" i="27" l="1"/>
  <c r="H49" i="27"/>
  <c r="O40" i="6"/>
  <c r="N40" i="6"/>
  <c r="O41" i="6"/>
  <c r="N41" i="6"/>
  <c r="O42" i="6"/>
  <c r="N42" i="6"/>
  <c r="F37" i="27" l="1"/>
  <c r="E29" i="6"/>
  <c r="D23" i="6"/>
  <c r="U26" i="6" l="1"/>
  <c r="Q18" i="6" l="1"/>
  <c r="Q17" i="6"/>
  <c r="N19" i="6"/>
  <c r="N18" i="6"/>
  <c r="N17" i="6"/>
  <c r="Q10" i="6"/>
  <c r="Q9" i="6"/>
  <c r="Q8" i="6"/>
  <c r="N10" i="6"/>
  <c r="N9" i="6"/>
  <c r="N8" i="6"/>
  <c r="P26" i="27"/>
  <c r="P25" i="27"/>
  <c r="P23" i="27"/>
  <c r="P24" i="27"/>
  <c r="P22" i="27"/>
  <c r="P21" i="27"/>
  <c r="C20" i="27"/>
  <c r="C19" i="27"/>
  <c r="I23" i="27"/>
  <c r="I22" i="27"/>
  <c r="I21" i="27"/>
  <c r="I4" i="20" l="1"/>
  <c r="H4" i="20"/>
  <c r="I44" i="27" l="1"/>
  <c r="N40" i="27" s="1"/>
  <c r="H44" i="27"/>
  <c r="M40" i="27" s="1"/>
  <c r="L43" i="27"/>
  <c r="N41" i="27" s="1"/>
  <c r="K43" i="27"/>
  <c r="M41" i="27" s="1"/>
  <c r="I43" i="27"/>
  <c r="N39" i="27" s="1"/>
  <c r="H43" i="27"/>
  <c r="M39" i="27" s="1"/>
  <c r="C43" i="27" l="1"/>
  <c r="C42" i="27"/>
  <c r="C36" i="27"/>
  <c r="E36" i="27" s="1"/>
  <c r="C35" i="27"/>
  <c r="E35" i="27" s="1"/>
  <c r="C34" i="27"/>
  <c r="C32" i="27"/>
  <c r="I30" i="27"/>
  <c r="I29" i="27"/>
  <c r="I28" i="27"/>
  <c r="C40" i="27" l="1"/>
  <c r="E34" i="27"/>
  <c r="E37" i="27" s="1"/>
  <c r="O33" i="6"/>
  <c r="U27" i="6" s="1"/>
  <c r="N33" i="6"/>
  <c r="T27" i="6" s="1"/>
  <c r="R31" i="6"/>
  <c r="Q31" i="6"/>
  <c r="R32" i="6"/>
  <c r="U29" i="6" s="1"/>
  <c r="Q32" i="6"/>
  <c r="T29" i="6" s="1"/>
  <c r="T28" i="6" l="1"/>
  <c r="U28" i="6"/>
  <c r="R33" i="6"/>
  <c r="U30" i="6" s="1"/>
  <c r="Q33" i="6"/>
  <c r="T30" i="6" s="1"/>
  <c r="N46" i="6" l="1"/>
  <c r="S33" i="6"/>
  <c r="O31" i="6"/>
  <c r="U25" i="6" s="1"/>
  <c r="N32" i="6"/>
  <c r="T26" i="6" s="1"/>
  <c r="N31" i="6"/>
  <c r="N45" i="6" l="1"/>
  <c r="N47" i="6" s="1"/>
  <c r="T25" i="6"/>
  <c r="C36" i="6"/>
  <c r="C35" i="6"/>
  <c r="C34" i="6"/>
  <c r="G31" i="19" l="1"/>
  <c r="G33" i="19" s="1"/>
  <c r="G30" i="19"/>
  <c r="C22" i="6" l="1"/>
  <c r="E22" i="6" s="1"/>
  <c r="C21" i="6"/>
  <c r="E21" i="6" s="1"/>
  <c r="C20" i="6"/>
  <c r="E20" i="6" s="1"/>
  <c r="C19" i="6"/>
  <c r="C18" i="6"/>
  <c r="C17" i="6"/>
  <c r="C57" i="2"/>
  <c r="D24" i="6" l="1"/>
  <c r="E17" i="6"/>
  <c r="D36" i="6"/>
  <c r="E19" i="6"/>
  <c r="D35" i="6"/>
  <c r="E18" i="6"/>
  <c r="D34" i="6"/>
  <c r="C31" i="6"/>
  <c r="C15" i="6"/>
  <c r="E23" i="6" l="1"/>
  <c r="E24" i="6" s="1"/>
  <c r="C6" i="2"/>
  <c r="C17" i="2" s="1"/>
  <c r="D3" i="2"/>
  <c r="D17" i="2" s="1"/>
</calcChain>
</file>

<file path=xl/sharedStrings.xml><?xml version="1.0" encoding="utf-8"?>
<sst xmlns="http://schemas.openxmlformats.org/spreadsheetml/2006/main" count="1266" uniqueCount="323">
  <si>
    <t xml:space="preserve">CUENTA </t>
  </si>
  <si>
    <t>MES</t>
  </si>
  <si>
    <t>VALOR FIJO</t>
  </si>
  <si>
    <t xml:space="preserve">VALOR CELULAR </t>
  </si>
  <si>
    <t xml:space="preserve">ENERO </t>
  </si>
  <si>
    <t>CONSUMOS TELEFONIA ALSC SEMESTRE I 2018</t>
  </si>
  <si>
    <t>153902811 C19</t>
  </si>
  <si>
    <t>7989553C19</t>
  </si>
  <si>
    <t>4362929C19</t>
  </si>
  <si>
    <t>FEBRERO</t>
  </si>
  <si>
    <t>MARZO</t>
  </si>
  <si>
    <t>MARZO - ABRIL</t>
  </si>
  <si>
    <t>MAYO-JUNIO</t>
  </si>
  <si>
    <t>SEMESTRE 1</t>
  </si>
  <si>
    <t>CONTRATO VOZ IP 175/2017</t>
  </si>
  <si>
    <t>1 ENERO</t>
  </si>
  <si>
    <t>2 FEBRERO</t>
  </si>
  <si>
    <t>3 MARZO</t>
  </si>
  <si>
    <t>4 ABRIL</t>
  </si>
  <si>
    <t>5 MAYO</t>
  </si>
  <si>
    <t>6 JUNIO</t>
  </si>
  <si>
    <t>7 JULIO</t>
  </si>
  <si>
    <t>8 AGOSTO</t>
  </si>
  <si>
    <t>9 SEPTIEMBRE</t>
  </si>
  <si>
    <t>10 OCTUBRE</t>
  </si>
  <si>
    <t>11 NOVIEMBRE</t>
  </si>
  <si>
    <t>12 DICIEMBRE</t>
  </si>
  <si>
    <t/>
  </si>
  <si>
    <t>consumo energia alsc 2017 kw</t>
  </si>
  <si>
    <t>CONSUMOS TELEFONIA ALSC 2017</t>
  </si>
  <si>
    <t>PRESTADOR</t>
  </si>
  <si>
    <t>ETB</t>
  </si>
  <si>
    <t>FECHA</t>
  </si>
  <si>
    <t>VALOR PAGADO</t>
  </si>
  <si>
    <t>ENERO</t>
  </si>
  <si>
    <t>ABRIL</t>
  </si>
  <si>
    <t>MAYO</t>
  </si>
  <si>
    <t>JUNIO</t>
  </si>
  <si>
    <t>JULIO</t>
  </si>
  <si>
    <t>AGOSTO</t>
  </si>
  <si>
    <t>SEPTIEMBRE</t>
  </si>
  <si>
    <t>OCTUBRE</t>
  </si>
  <si>
    <t>NOVIEMBRE</t>
  </si>
  <si>
    <t>DICIEMBRE</t>
  </si>
  <si>
    <t>consumo energia alsc SEMESTRE 1 - 2018 kw</t>
  </si>
  <si>
    <t>ESTRATEGIAS O PROCEDIMIENTOS PARA DISMINUCION DEL CONSUMO</t>
  </si>
  <si>
    <t xml:space="preserve">Se realizó cambio de técnología de luz fluorescente a iluminación led en el 75 % de las instalaciones, asi mismo se realizó en 2017 y lo corrido de 2018 el cambio de equipos de computo con tecnologia eficiente conforme los lineamientos de secretariad e gobierno, esta estrategia se complementó con la adquisición de un sistema de red regulada en la vigencia 2017 para el suministro de energía a los equipos. Trimestralmente se realiza una campaña de consumo responsable de energía y para lo restante de 2018 se cambiará a tecnologia led la totalidad de la iluminación,  los equipos nuevos adeás se configuraron con esquema de hibernación despues de 15 minutos de inactividad. </t>
  </si>
  <si>
    <t>OBI134</t>
  </si>
  <si>
    <t>OLM922</t>
  </si>
  <si>
    <t>OLM923</t>
  </si>
  <si>
    <t>OLM924</t>
  </si>
  <si>
    <t xml:space="preserve">Fecha </t>
  </si>
  <si>
    <t>Cantidad</t>
  </si>
  <si>
    <t>Numero Venta</t>
  </si>
  <si>
    <t>Kilometraje</t>
  </si>
  <si>
    <t>PPU descuento</t>
  </si>
  <si>
    <t>Valor Total Descuento</t>
  </si>
  <si>
    <t>Producto</t>
  </si>
  <si>
    <t>DIESEL</t>
  </si>
  <si>
    <t>OBG716</t>
  </si>
  <si>
    <t>OBG717</t>
  </si>
  <si>
    <t>OBG829</t>
  </si>
  <si>
    <t>OBG830</t>
  </si>
  <si>
    <t>OBI544</t>
  </si>
  <si>
    <t>CORRIENTE</t>
  </si>
  <si>
    <t>PERIODO</t>
  </si>
  <si>
    <t>GUACAMAYAS</t>
  </si>
  <si>
    <t xml:space="preserve">CALVO SUR </t>
  </si>
  <si>
    <t>ADMINISTRATIVA</t>
  </si>
  <si>
    <t>Detalle consumos por sede semestre II- 2018</t>
  </si>
  <si>
    <t>Para 2019 se  realizó la firma con CONTRATO 262 DE 2018 de la misma modalidad con un valor para los doce meses  de $ 26.228.076.</t>
  </si>
  <si>
    <t>CONSUMOS DE SERVICIO DE FOTOCOPIADO DE LA ALCALDIA LOCAL DE SAN CRISTOBAL</t>
  </si>
  <si>
    <t>VIGENCIAS 2017 -  30 DE SEPT DE 2018</t>
  </si>
  <si>
    <t>ITEM</t>
  </si>
  <si>
    <t>RADICADO</t>
  </si>
  <si>
    <t>FECHA MES</t>
  </si>
  <si>
    <t>CONTRATISTA</t>
  </si>
  <si>
    <t xml:space="preserve">CONTRATO </t>
  </si>
  <si>
    <t>VALOR</t>
  </si>
  <si>
    <t>FACTURA</t>
  </si>
  <si>
    <t>SERTCO</t>
  </si>
  <si>
    <t>CPS 161-2016</t>
  </si>
  <si>
    <t>CPS 136-2017</t>
  </si>
  <si>
    <t>CPS-226-2018</t>
  </si>
  <si>
    <t>consumo vigencia 2017</t>
  </si>
  <si>
    <t>consumo vigencia 2018</t>
  </si>
  <si>
    <t>total</t>
  </si>
  <si>
    <t>consumo energia alsc TRIMESTRE 1 - 2019 kw</t>
  </si>
  <si>
    <t xml:space="preserve">Las condiciones operativas del sistema de telefonía en 2017 mantenian quince lineas telefónicas en funcionamiento, sin conexión entre sedes, por lo anterior se concentró el sistema en el contrato 175/2017 en el cual el mismo prestador del servicio proporciona servicio de voz ip con 54 extensiones en conexion de las sede administrativa , inspecciones y calvo sur , asi como equipos de telefonia con cargo al mismo contrato, la comunicación a teléfonos moviles no genera cargos adicionales , la ejecución  del contrato fue  de $28,547,281 por un periodo de doce meses que inicio en diciembre de  2017 y finalizó en diciembre de 2018, solo tres telefonos estan habilitados para uso de telefonía movil sin generar facturción adicional. los contratos anteriores se suspendieron lo que se evidencia en la disminuicion de los pagos por factura en 2018. </t>
  </si>
  <si>
    <t>FOTOCOPIAS</t>
  </si>
  <si>
    <t>CONCEPTO</t>
  </si>
  <si>
    <t>CUENTA</t>
  </si>
  <si>
    <t>2738879-2</t>
  </si>
  <si>
    <t>VALOR FACTURADO</t>
  </si>
  <si>
    <t>KW CONSUMIDOS</t>
  </si>
  <si>
    <t>TRIMESTRE I 2019</t>
  </si>
  <si>
    <t>2514894-2</t>
  </si>
  <si>
    <t>2061594-4, 1676895-9</t>
  </si>
  <si>
    <t>TRIMESTRE II 2019</t>
  </si>
  <si>
    <t>JUL 18 - SEP 15</t>
  </si>
  <si>
    <t>MAY 18 - JUL 17</t>
  </si>
  <si>
    <t>MAR 18 - MAY 17</t>
  </si>
  <si>
    <t>ENE 18 - MAR 17</t>
  </si>
  <si>
    <t>NOV 18 -ENE 17</t>
  </si>
  <si>
    <t>CONSUMO AGUA ALSC SEMESTRE 1 - 2018 METROS CÚBICOS</t>
  </si>
  <si>
    <t>SEP 16 - NOV 15</t>
  </si>
  <si>
    <t>CONSUMO AGUA ALSC 2017 METROS CÚBICOS</t>
  </si>
  <si>
    <t>MAYO 16 - JULIO 13</t>
  </si>
  <si>
    <t>JULIO 14 - SEPTIEMBRE12</t>
  </si>
  <si>
    <t>SEPTIEMBRE 13 - NOVIEMBRE 13</t>
  </si>
  <si>
    <t>Detalle consumos por sede trimestre I- 2019</t>
  </si>
  <si>
    <t>NOVIEMBRE 13 - ENERO 10</t>
  </si>
  <si>
    <t>ENERO 11 - MARZO 12</t>
  </si>
  <si>
    <t xml:space="preserve">M3 </t>
  </si>
  <si>
    <t>CONSUMO AGUA ALSC TRIMESTRE 1 - 2019 METROS CÚBICOS</t>
  </si>
  <si>
    <t>DIC 28/2018-FEB25/2019</t>
  </si>
  <si>
    <t>feb  26-abr 25</t>
  </si>
  <si>
    <t>MAR 12 - MAY 09</t>
  </si>
  <si>
    <t>ENERO 11 - MARZO 11</t>
  </si>
  <si>
    <t>11106730, 11442378</t>
  </si>
  <si>
    <t>Placa</t>
  </si>
  <si>
    <t>PAGOS REALIZADOS COP 262 / 2018</t>
  </si>
  <si>
    <t>ORDEN DE PAGO</t>
  </si>
  <si>
    <t xml:space="preserve">CONTRATISTA </t>
  </si>
  <si>
    <t>MARZO 19/2019</t>
  </si>
  <si>
    <t>JUNIO 07/2019</t>
  </si>
  <si>
    <t>IMPLEMENTACION DE UN PROYECTO INTEGRAL DE COMUNICACIONES QUE INVOLUCRE LA FORMULACION Y EJECUCION DE UN PLAN DE MEDIOS Y FORTELECIMIENTO A LOS MEDIOS LOCALES DE COMUNICACION Y UN EMPALME CON EL PROYECTO INTEGRAL DE COMUNICACIONES 2017 PARA SU CONTINUIDAD</t>
  </si>
  <si>
    <t>Impresos y  Publicaciones / Informacion</t>
  </si>
  <si>
    <t>3-1-2-02-04-00-0000-00 / 3-1-2-02-17-00-0000-00</t>
  </si>
  <si>
    <t>625/767</t>
  </si>
  <si>
    <t>1028/1027</t>
  </si>
  <si>
    <t xml:space="preserve"> OBJETO </t>
  </si>
  <si>
    <t>PROYECTO</t>
  </si>
  <si>
    <t>RUBRO</t>
  </si>
  <si>
    <t>No_CDP</t>
  </si>
  <si>
    <t>No_RP</t>
  </si>
  <si>
    <t>Fech_Registro</t>
  </si>
  <si>
    <t>Valor_Neto</t>
  </si>
  <si>
    <t>FECHA DE  SUSCRIPCION</t>
  </si>
  <si>
    <t xml:space="preserve">ABRIL </t>
  </si>
  <si>
    <t>CONTRATO FINALIZADO</t>
  </si>
  <si>
    <t>CONSUMO AGUA ALSC 2016 METROS CÚBICOS</t>
  </si>
  <si>
    <t>NOV 26 -ENE 22</t>
  </si>
  <si>
    <t>ENE 23 - MAR 22</t>
  </si>
  <si>
    <t>Detalle consumos por sede semestre II- 2016</t>
  </si>
  <si>
    <t>ENERGIA 2016</t>
  </si>
  <si>
    <t>ene</t>
  </si>
  <si>
    <t xml:space="preserve">consumo </t>
  </si>
  <si>
    <t>valor</t>
  </si>
  <si>
    <t>CI-262/2018</t>
  </si>
  <si>
    <t>LOTE VIA SAN CRISTOBAL</t>
  </si>
  <si>
    <t xml:space="preserve">las instalaciones sanitarias de la sede administrativa fueron cambiandas a tecnologia de bajo consumo 4,8 litros por descarga en el 90 % de las 10 baterias existentes, trimestralmente se realiza una campaña de bajo consumo y se señalizaron los baños con elementos comunicativos del programa de ahorro de agua, durante 2018 se cambiaron a tecnologia tipo push seis  lavamanos de alto uso, casa del cosnumidor públicos y almacen. </t>
  </si>
  <si>
    <t xml:space="preserve">LOTE VIA </t>
  </si>
  <si>
    <t>MAY 29-JUL 26</t>
  </si>
  <si>
    <t>JUN 26-AGO23</t>
  </si>
  <si>
    <t>JUL 27- SEP 24</t>
  </si>
  <si>
    <t>MAY 10 - JUL 10 2019</t>
  </si>
  <si>
    <t>MAY 10 - JUL 09 2019</t>
  </si>
  <si>
    <t>PAGO 1</t>
  </si>
  <si>
    <t>total kw 2019</t>
  </si>
  <si>
    <t>SEP 25 - NOV 22</t>
  </si>
  <si>
    <t>SEP 07 - NOV 06</t>
  </si>
  <si>
    <t>JUL 11 -SEP 06</t>
  </si>
  <si>
    <t>AGO 24 - OCT 22</t>
  </si>
  <si>
    <t>JUL 10 - SEP 06</t>
  </si>
  <si>
    <t>ABRI 26 - JUN 25</t>
  </si>
  <si>
    <t xml:space="preserve">SEPTIEMBRE </t>
  </si>
  <si>
    <t>PAGO 2</t>
  </si>
  <si>
    <t>GCW723</t>
  </si>
  <si>
    <t>MC088060</t>
  </si>
  <si>
    <t>MC106665</t>
  </si>
  <si>
    <t>MOTON1</t>
  </si>
  <si>
    <t>RETRO2</t>
  </si>
  <si>
    <t>SECRETARÍA DISTRITAL DE GOBIERNO</t>
  </si>
  <si>
    <t xml:space="preserve">Control mensual de consumo de papel </t>
  </si>
  <si>
    <t xml:space="preserve">PERIODO: </t>
  </si>
  <si>
    <t xml:space="preserve">PROCESO: </t>
  </si>
  <si>
    <t>DEPENDENCIA:</t>
  </si>
  <si>
    <t>RESPONSABLE DILIGENCIAMIENTO:</t>
  </si>
  <si>
    <t>GRUPO</t>
  </si>
  <si>
    <t>TAMAÑO</t>
  </si>
  <si>
    <t>SEMANA1</t>
  </si>
  <si>
    <t>SEMANA2</t>
  </si>
  <si>
    <t>SEMANA 3</t>
  </si>
  <si>
    <t>SEMANA 4</t>
  </si>
  <si>
    <t xml:space="preserve">TOTAL </t>
  </si>
  <si>
    <t xml:space="preserve">TOTAL ANUAL </t>
  </si>
  <si>
    <t xml:space="preserve">TOTAL POR GRUPO </t>
  </si>
  <si>
    <t>Despacho</t>
  </si>
  <si>
    <t>CARTA</t>
  </si>
  <si>
    <t>OFICIO</t>
  </si>
  <si>
    <t>Atención a la Ciudadanía</t>
  </si>
  <si>
    <t>Actividades de Derechos Humanos en la Localidad</t>
  </si>
  <si>
    <t>Coordinación Policiva y Jurídica</t>
  </si>
  <si>
    <t>Actividades de Inspección, Vigilancia y Control en la Localidad.</t>
  </si>
  <si>
    <t>Coordinación Gestión Desarrollo Local</t>
  </si>
  <si>
    <t>Presupuesto</t>
  </si>
  <si>
    <t>Planeación</t>
  </si>
  <si>
    <t xml:space="preserve">Contratación </t>
  </si>
  <si>
    <t>Almacén</t>
  </si>
  <si>
    <t>Contabilidad</t>
  </si>
  <si>
    <t>Otro</t>
  </si>
  <si>
    <t>Subsidio c</t>
  </si>
  <si>
    <t>Titulación</t>
  </si>
  <si>
    <t>Tecnologías de la Información Local</t>
  </si>
  <si>
    <t>Gestión Documental Local y CDI</t>
  </si>
  <si>
    <t>Actividades Relaciones Estratégicas Local (JAL)</t>
  </si>
  <si>
    <t>Prensa y comunicaciones local</t>
  </si>
  <si>
    <t>TOTAL</t>
  </si>
  <si>
    <t>RELACIÓN ENTREGA DE PAPEL  NIVEL LOCAL</t>
  </si>
  <si>
    <t>PROCESO</t>
  </si>
  <si>
    <t>DISTRIBUCIÓN</t>
  </si>
  <si>
    <t xml:space="preserve">FECHA DE ENTREGA * </t>
  </si>
  <si>
    <t>CANTIDAD</t>
  </si>
  <si>
    <t xml:space="preserve">FECHA DE 
 ENTREGA </t>
  </si>
  <si>
    <t xml:space="preserve">FECHA DE  
ENTREGA </t>
  </si>
  <si>
    <t xml:space="preserve">FECHA DE ENTREGA </t>
  </si>
  <si>
    <t>Servicio a la Ciudadanía</t>
  </si>
  <si>
    <t>Atención a la ciudadanía</t>
  </si>
  <si>
    <t>Macro Proceso de Derechos Humanos</t>
  </si>
  <si>
    <t>Fomento y protección de los DDHH</t>
  </si>
  <si>
    <t xml:space="preserve">Actividades asociadas a  la Gobernabilidad y Garantía de Derechos
</t>
  </si>
  <si>
    <t>Macro Proceso Gestión Territorial</t>
  </si>
  <si>
    <t xml:space="preserve">Gestión Pública Territorial Local </t>
  </si>
  <si>
    <t xml:space="preserve">Coordinación Normativa y Jurídica  </t>
  </si>
  <si>
    <t>Inspección, vigilancia y control</t>
  </si>
  <si>
    <t>Actividades de Inspección, vigilancia y control.</t>
  </si>
  <si>
    <t>Macro Proceso Gestión Corporativa</t>
  </si>
  <si>
    <t>Gestión Corporativa Local</t>
  </si>
  <si>
    <t xml:space="preserve">Coordinación Administrativa y Financiera </t>
  </si>
  <si>
    <t>Contratación</t>
  </si>
  <si>
    <t>buen trato</t>
  </si>
  <si>
    <t>subsidio c</t>
  </si>
  <si>
    <t>contabilidad</t>
  </si>
  <si>
    <t>archivo</t>
  </si>
  <si>
    <t>obras</t>
  </si>
  <si>
    <t>presupuesto</t>
  </si>
  <si>
    <t>Gerencia de TIC</t>
  </si>
  <si>
    <t>Equipo tecnologías de la información</t>
  </si>
  <si>
    <t>Gestión del Patrimonio Documental</t>
  </si>
  <si>
    <t xml:space="preserve">Equipo Gestión documental </t>
  </si>
  <si>
    <t>CDI</t>
  </si>
  <si>
    <t xml:space="preserve">Macro Proceso Planeación Estratégica </t>
  </si>
  <si>
    <t>Planeación Institucional</t>
  </si>
  <si>
    <t xml:space="preserve">
Despacho</t>
  </si>
  <si>
    <t>planeación</t>
  </si>
  <si>
    <t>otro liquidaciones</t>
  </si>
  <si>
    <t xml:space="preserve">Comunicación Estratégica </t>
  </si>
  <si>
    <t>Oficinas de Prensa</t>
  </si>
  <si>
    <t xml:space="preserve">Relaciones Estratégicas </t>
  </si>
  <si>
    <t>Actividades asociadas a relaciones estratégicas</t>
  </si>
  <si>
    <t>* Si requiere INSERTAR más columnas comuniquesé con la Oficina Asesora de Planeación</t>
  </si>
  <si>
    <t>MES DEL GASTO</t>
  </si>
  <si>
    <t>PLACA DEL VEHICULO</t>
  </si>
  <si>
    <t>NUMERO COMPROBANTE DE COMPRA</t>
  </si>
  <si>
    <t>FECHA DEL COMPROBANTE</t>
  </si>
  <si>
    <t xml:space="preserve">TIPO DE MANTENIMIENTO </t>
  </si>
  <si>
    <t>VALOR DE LA COMPRA</t>
  </si>
  <si>
    <t>OBI 544</t>
  </si>
  <si>
    <t>PREVENTIVO</t>
  </si>
  <si>
    <t>OBG 830</t>
  </si>
  <si>
    <t>N7AF</t>
  </si>
  <si>
    <t>N8C018</t>
  </si>
  <si>
    <t>OBG 716</t>
  </si>
  <si>
    <t>OBI 134</t>
  </si>
  <si>
    <t>OLM 922</t>
  </si>
  <si>
    <t>PRIMER SEMESTRE 2020</t>
  </si>
  <si>
    <t xml:space="preserve">ALCALDIA LOCAL DE SAN CRISTÓBAL </t>
  </si>
  <si>
    <t>YENNIFER BURITICÁ SALCEDO</t>
  </si>
  <si>
    <t xml:space="preserve">Obras/Infraestructura </t>
  </si>
  <si>
    <t xml:space="preserve">almacen </t>
  </si>
  <si>
    <t>Inicio cuarentena</t>
  </si>
  <si>
    <t xml:space="preserve">No hay registros de solicitud de papel </t>
  </si>
  <si>
    <t xml:space="preserve">                CONSUMO AGUA ALSC II- 2016</t>
  </si>
  <si>
    <t>CONSUMOS TEELFONIA  2020-I</t>
  </si>
  <si>
    <t>PPU</t>
  </si>
  <si>
    <t>Valor total</t>
  </si>
  <si>
    <t xml:space="preserve">Responsable de diligenciamiento:  Yennifer Buritica Salcedo </t>
  </si>
  <si>
    <t xml:space="preserve">ALCALDIA LOCAL DE SAN CRISTOBAL </t>
  </si>
  <si>
    <t>CONSUMO AGUA ALSC SEMESTRE 1 - 2020 METROS CÚBICOS</t>
  </si>
  <si>
    <t>dic/febr</t>
  </si>
  <si>
    <t>abril-18/jun-17</t>
  </si>
  <si>
    <t>feb/abril</t>
  </si>
  <si>
    <t>ene/mar</t>
  </si>
  <si>
    <t>mar/may</t>
  </si>
  <si>
    <t>may/juli</t>
  </si>
  <si>
    <t>CONSUMO M3</t>
  </si>
  <si>
    <t xml:space="preserve">COSTO </t>
  </si>
  <si>
    <t>ENERO -MARZO</t>
  </si>
  <si>
    <t>ABRIL-JUNIO</t>
  </si>
  <si>
    <t>TRIMESTRE II - 2020</t>
  </si>
  <si>
    <t>CONSUMO KW</t>
  </si>
  <si>
    <t>CONSUMOS INTERNET  2020-I (60mbps)</t>
  </si>
  <si>
    <t>CONSUMOS TELEFONIA  2020-I</t>
  </si>
  <si>
    <t>PRESTADOR/CONTRATO</t>
  </si>
  <si>
    <t>ETB/355-2019</t>
  </si>
  <si>
    <t>TRIMESTRE I-2021</t>
  </si>
  <si>
    <t>CONTRATO COMUNICACIONES 270/2018</t>
  </si>
  <si>
    <t>CONSUMO COMBUSTIBLE ALSC - 2020-I</t>
  </si>
  <si>
    <t>MARZO DE 2018</t>
  </si>
  <si>
    <t>MIN001</t>
  </si>
  <si>
    <t>MAYO DE 2018</t>
  </si>
  <si>
    <t>JUNIO DE 2018</t>
  </si>
  <si>
    <t>AGOSTO DE 2018</t>
  </si>
  <si>
    <t>MOT001</t>
  </si>
  <si>
    <t>580M6</t>
  </si>
  <si>
    <t>NOVIEMBRE DE 2018</t>
  </si>
  <si>
    <t>ENERO DE 2019</t>
  </si>
  <si>
    <t>MARZO DE 2019</t>
  </si>
  <si>
    <t>I544</t>
  </si>
  <si>
    <t>N8CO18</t>
  </si>
  <si>
    <t>ABRIL DE 2019</t>
  </si>
  <si>
    <t>De acuerdo al plan programado para el año revisando y teniendo en cuenta los históricos del mantenimiento en busca de mayor economía en su ejecución, se hace seguimiento del control diario al estado real de los vehículos, donde cada conductor hace un chequeo general del mismo y reporta cualquier situación que evidencie.</t>
  </si>
  <si>
    <t>            El mantenimiento preventivo del parque automotor, debido a su diaria programación va presentando un elevado desgaste y agotamiento de sus partes, lo que amerita la prestación de un continuo y rápido servicio de mantenimiento preventivo y correctivo.</t>
  </si>
  <si>
    <t>Se le realiza un control al taller (UNION TEMPORAL JAKO MOTOR SAN CRISTOBAL 2017) cuando enviamos los vehículos del parque automotor de la Alcaldía local de San Cristóbal se hace un control de los tiempos indicados, reparación y repuestos durante su ejecución.</t>
  </si>
  <si>
    <t>T21557</t>
  </si>
  <si>
    <t>T21570</t>
  </si>
  <si>
    <t>T21555</t>
  </si>
  <si>
    <t>T21556</t>
  </si>
  <si>
    <t>T21300</t>
  </si>
  <si>
    <t>T21076</t>
  </si>
  <si>
    <t>SR220</t>
  </si>
  <si>
    <t>T21082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</si>
</sst>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 #,##0;[Red]\-&quot;$&quot;\ #,##0"/>
    <numFmt numFmtId="42" formatCode="_-&quot;$&quot;\ * #,##0_-;\-&quot;$&quot;\ * #,##0_-;_-&quot;$&quot;\ * &quot;-&quot;_-;_-@_-"/>
    <numFmt numFmtId="43" formatCode="_-* #,##0.00_-;\-* #,##0.00_-;_-* &quot;-&quot;??_-;_-@_-"/>
    <numFmt numFmtId="164" formatCode="&quot;$&quot;\ #,##0_);[Red]\(&quot;$&quot;\ #,##0\)"/>
    <numFmt numFmtId="165" formatCode="_(&quot;$&quot;\ * #,##0.00_);_(&quot;$&quot;\ * \(#,##0.00\);_(&quot;$&quot;\ * &quot;-&quot;??_);_(@_)"/>
    <numFmt numFmtId="166" formatCode="_(* #,##0.00_);_(* \(#,##0.00\);_(* &quot;-&quot;??_);_(@_)"/>
    <numFmt numFmtId="167" formatCode="&quot;$&quot;\ #,##0"/>
    <numFmt numFmtId="168" formatCode="_(&quot;$&quot;* #,##0.00_);_(&quot;$&quot;* \(#,##0.00\);_(&quot;$&quot;* &quot;-&quot;??_);_(@_)"/>
    <numFmt numFmtId="169" formatCode="_(&quot;$&quot;* #,##0_);_(&quot;$&quot;* \(#,##0\);_(&quot;$&quot;* &quot;-&quot;_);_(@_)"/>
    <numFmt numFmtId="170" formatCode="yyyy\-mm\-dd;@"/>
    <numFmt numFmtId="171" formatCode="[$-10409]&quot;$&quot;#,##0.00;\(&quot;$&quot;#,##0.00\)"/>
    <numFmt numFmtId="172" formatCode="_-* #,##0.00\ _€_-;\-* #,##0.00\ _€_-;_-* &quot;-&quot;??\ _€_-;_-@_-"/>
    <numFmt numFmtId="173" formatCode="0E+00"/>
    <numFmt numFmtId="174" formatCode="_-[$$-240A]\ * #,##0.00_-;\-[$$-240A]\ * #,##0.00_-;_-[$$-240A]\ * &quot;-&quot;??_-;_-@_-"/>
    <numFmt numFmtId="175" formatCode="[$-10409]m/d/yyyy\ h:mm:ss\ AM/PM"/>
    <numFmt numFmtId="176" formatCode="0.0"/>
    <numFmt numFmtId="177" formatCode="0.00000000"/>
  </numFmts>
  <fonts count="21">
    <font>
      <sz val="11"/>
      <color theme="1"/>
      <name val="Calibri"/>
      <family val="2"/>
      <scheme val="minor"/>
    </font>
    <font>
      <b/>
      <sz val="11"/>
      <color theme="1"/>
      <name val="Calibri"/>
      <family val="2"/>
      <scheme val="minor"/>
    </font>
    <font>
      <sz val="10"/>
      <name val="Arial"/>
      <family val="2"/>
    </font>
    <font>
      <u/>
      <sz val="10"/>
      <color indexed="12"/>
      <name val="Verdana"/>
      <family val="2"/>
    </font>
    <font>
      <b/>
      <sz val="11"/>
      <color indexed="8"/>
      <name val="Calibri"/>
      <family val="2"/>
    </font>
    <font>
      <sz val="11"/>
      <color indexed="8"/>
      <name val="Calibri"/>
      <family val="2"/>
      <scheme val="minor"/>
    </font>
    <font>
      <sz val="11"/>
      <color theme="1"/>
      <name val="Calibri"/>
      <family val="2"/>
      <scheme val="minor"/>
    </font>
    <font>
      <sz val="12"/>
      <color theme="1"/>
      <name val="Calibri"/>
      <family val="2"/>
      <scheme val="minor"/>
    </font>
    <font>
      <sz val="10"/>
      <color theme="1"/>
      <name val="Arial Narrow"/>
      <family val="2"/>
    </font>
    <font>
      <sz val="10"/>
      <color rgb="FF000000"/>
      <name val="Arial Narrow"/>
      <family val="2"/>
    </font>
    <font>
      <b/>
      <sz val="10"/>
      <color theme="1"/>
      <name val="Arial Narrow"/>
      <family val="2"/>
    </font>
    <font>
      <b/>
      <sz val="11"/>
      <color theme="0"/>
      <name val="Calibri"/>
      <family val="2"/>
      <scheme val="minor"/>
    </font>
    <font>
      <sz val="11"/>
      <color rgb="FFFF0000"/>
      <name val="Calibri"/>
      <family val="2"/>
      <scheme val="minor"/>
    </font>
    <font>
      <i/>
      <sz val="11"/>
      <color theme="1"/>
      <name val="Calibri"/>
      <family val="2"/>
      <scheme val="minor"/>
    </font>
    <font>
      <sz val="11"/>
      <name val="Calibri"/>
      <family val="2"/>
      <scheme val="minor"/>
    </font>
    <font>
      <sz val="16"/>
      <color theme="1"/>
      <name val="Calibri"/>
      <family val="2"/>
      <scheme val="minor"/>
    </font>
    <font>
      <b/>
      <sz val="12"/>
      <color rgb="FFFF0000"/>
      <name val="Calibri"/>
      <family val="2"/>
      <scheme val="minor"/>
    </font>
    <font>
      <sz val="11"/>
      <color indexed="8"/>
      <name val="Calibri"/>
      <family val="2"/>
    </font>
    <font>
      <sz val="11"/>
      <name val="Calibri"/>
      <family val="2"/>
    </font>
    <font>
      <sz val="12"/>
      <color rgb="FF000000"/>
      <name val="Inherit"/>
    </font>
    <font>
      <sz val="16"/>
      <color rgb="FF000000"/>
      <name val="Calibri"/>
      <family val="2"/>
      <scheme val="minor"/>
    </font>
  </fonts>
  <fills count="12">
    <fill>
      <patternFill patternType="none"/>
    </fill>
    <fill>
      <patternFill patternType="gray125"/>
    </fill>
    <fill>
      <patternFill patternType="solid">
        <fgColor theme="0"/>
        <bgColor indexed="64"/>
      </patternFill>
    </fill>
    <fill>
      <patternFill patternType="solid">
        <fgColor indexed="9"/>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0070C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tint="-0.14999847407452621"/>
        <bgColor theme="0" tint="-0.14999847407452621"/>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2">
    <xf numFmtId="0" fontId="0" fillId="0" borderId="0"/>
    <xf numFmtId="0" fontId="2" fillId="0" borderId="0"/>
    <xf numFmtId="168" fontId="2" fillId="0" borderId="0" applyFont="0" applyFill="0" applyBorder="0" applyAlignment="0" applyProtection="0"/>
    <xf numFmtId="169" fontId="2" fillId="0" borderId="0" applyFont="0" applyFill="0" applyBorder="0" applyAlignment="0" applyProtection="0"/>
    <xf numFmtId="166" fontId="2" fillId="0" borderId="0" applyFont="0" applyFill="0" applyBorder="0" applyAlignment="0" applyProtection="0"/>
    <xf numFmtId="0" fontId="3" fillId="0" borderId="0" applyNumberFormat="0" applyFill="0" applyBorder="0" applyAlignment="0" applyProtection="0">
      <alignment vertical="top"/>
      <protection locked="0"/>
    </xf>
    <xf numFmtId="0" fontId="5" fillId="0" borderId="0"/>
    <xf numFmtId="172" fontId="6" fillId="0" borderId="0" applyFont="0" applyFill="0" applyBorder="0" applyAlignment="0" applyProtection="0"/>
    <xf numFmtId="0" fontId="7" fillId="0" borderId="0"/>
    <xf numFmtId="43" fontId="6" fillId="0" borderId="0" applyFont="0" applyFill="0" applyBorder="0" applyAlignment="0" applyProtection="0"/>
    <xf numFmtId="42" fontId="6" fillId="0" borderId="0" applyFont="0" applyFill="0" applyBorder="0" applyAlignment="0" applyProtection="0"/>
    <xf numFmtId="165" fontId="6" fillId="0" borderId="0" applyFont="0" applyFill="0" applyBorder="0" applyAlignment="0" applyProtection="0"/>
  </cellStyleXfs>
  <cellXfs count="270">
    <xf numFmtId="0" fontId="0" fillId="0" borderId="0" xfId="0"/>
    <xf numFmtId="0" fontId="0" fillId="0" borderId="1" xfId="0" applyBorder="1"/>
    <xf numFmtId="0" fontId="0" fillId="0" borderId="10" xfId="0" applyBorder="1"/>
    <xf numFmtId="167" fontId="0" fillId="0" borderId="1" xfId="0" applyNumberFormat="1" applyBorder="1"/>
    <xf numFmtId="167" fontId="0" fillId="0" borderId="8" xfId="0" applyNumberFormat="1" applyBorder="1"/>
    <xf numFmtId="0" fontId="0" fillId="0" borderId="7"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1" fillId="0" borderId="7" xfId="0" applyFont="1" applyBorder="1" applyAlignment="1">
      <alignment horizontal="center" vertical="center"/>
    </xf>
    <xf numFmtId="0" fontId="1" fillId="0" borderId="1" xfId="0" applyFont="1" applyBorder="1"/>
    <xf numFmtId="0" fontId="1" fillId="0" borderId="8" xfId="0" applyFont="1" applyBorder="1"/>
    <xf numFmtId="0" fontId="0" fillId="0" borderId="12" xfId="0" applyBorder="1" applyAlignment="1">
      <alignment horizontal="center" vertical="center"/>
    </xf>
    <xf numFmtId="0" fontId="0" fillId="0" borderId="13" xfId="0" applyBorder="1"/>
    <xf numFmtId="167" fontId="0" fillId="0" borderId="13" xfId="0" applyNumberFormat="1" applyBorder="1"/>
    <xf numFmtId="167" fontId="0" fillId="0" borderId="14" xfId="0" applyNumberFormat="1" applyBorder="1"/>
    <xf numFmtId="0" fontId="0" fillId="3" borderId="3" xfId="0" applyFill="1" applyBorder="1" applyAlignment="1" applyProtection="1">
      <alignment vertical="center"/>
      <protection locked="0"/>
    </xf>
    <xf numFmtId="0" fontId="1" fillId="0" borderId="0" xfId="0" applyFont="1"/>
    <xf numFmtId="0" fontId="1" fillId="0" borderId="0" xfId="0" applyFont="1" applyAlignment="1">
      <alignment horizontal="center" vertical="center"/>
    </xf>
    <xf numFmtId="0" fontId="0" fillId="0" borderId="0" xfId="0" applyFill="1" applyBorder="1" applyAlignment="1">
      <alignment horizontal="center" vertical="center"/>
    </xf>
    <xf numFmtId="0" fontId="0" fillId="3" borderId="17" xfId="0" applyFill="1" applyBorder="1" applyAlignment="1" applyProtection="1">
      <alignment vertical="center"/>
      <protection locked="0"/>
    </xf>
    <xf numFmtId="0" fontId="4" fillId="0" borderId="2" xfId="0" applyFont="1" applyFill="1" applyBorder="1" applyAlignment="1">
      <alignment vertical="center"/>
    </xf>
    <xf numFmtId="0" fontId="1" fillId="0" borderId="3" xfId="0" applyFont="1" applyBorder="1"/>
    <xf numFmtId="0" fontId="1" fillId="0" borderId="0" xfId="0" applyFont="1" applyBorder="1" applyAlignment="1">
      <alignment horizontal="center" vertical="center"/>
    </xf>
    <xf numFmtId="167" fontId="0" fillId="0" borderId="0" xfId="0" applyNumberFormat="1"/>
    <xf numFmtId="0" fontId="1" fillId="0" borderId="1" xfId="0" applyFont="1" applyBorder="1" applyAlignment="1">
      <alignment horizontal="center" vertical="center"/>
    </xf>
    <xf numFmtId="167" fontId="1" fillId="0" borderId="1" xfId="0" applyNumberFormat="1" applyFont="1" applyFill="1" applyBorder="1" applyAlignment="1">
      <alignment horizontal="center" vertical="center"/>
    </xf>
    <xf numFmtId="170" fontId="0" fillId="0" borderId="1" xfId="0" applyNumberFormat="1" applyBorder="1" applyAlignment="1">
      <alignment horizontal="center" vertical="center"/>
    </xf>
    <xf numFmtId="0" fontId="0" fillId="0" borderId="1" xfId="0" applyBorder="1" applyAlignment="1">
      <alignment horizontal="center" vertical="center"/>
    </xf>
    <xf numFmtId="167" fontId="0" fillId="0" borderId="1" xfId="0" applyNumberFormat="1" applyBorder="1" applyAlignment="1">
      <alignment horizontal="center" vertical="center"/>
    </xf>
    <xf numFmtId="167" fontId="1" fillId="0" borderId="0" xfId="0" applyNumberFormat="1" applyFont="1"/>
    <xf numFmtId="0" fontId="0" fillId="2" borderId="0" xfId="0" applyFill="1"/>
    <xf numFmtId="0" fontId="0" fillId="3" borderId="0" xfId="0" applyFill="1" applyBorder="1" applyAlignment="1" applyProtection="1">
      <alignment vertical="center"/>
      <protection locked="0"/>
    </xf>
    <xf numFmtId="0" fontId="0" fillId="0" borderId="18" xfId="0" applyBorder="1" applyAlignment="1">
      <alignment horizontal="center" vertical="center"/>
    </xf>
    <xf numFmtId="0" fontId="1" fillId="0" borderId="18" xfId="0" applyFont="1" applyBorder="1" applyAlignment="1">
      <alignment horizontal="center" vertical="center"/>
    </xf>
    <xf numFmtId="172" fontId="0" fillId="0" borderId="0" xfId="7" applyFont="1"/>
    <xf numFmtId="1" fontId="0" fillId="0" borderId="0" xfId="7" applyNumberFormat="1" applyFont="1"/>
    <xf numFmtId="15" fontId="0" fillId="0" borderId="0" xfId="0" applyNumberFormat="1"/>
    <xf numFmtId="172" fontId="0" fillId="0" borderId="0" xfId="0" applyNumberFormat="1"/>
    <xf numFmtId="14" fontId="0" fillId="0" borderId="0" xfId="0" applyNumberFormat="1"/>
    <xf numFmtId="0" fontId="7" fillId="0" borderId="0" xfId="8"/>
    <xf numFmtId="0" fontId="1" fillId="0" borderId="18" xfId="0" applyFont="1" applyBorder="1" applyAlignment="1">
      <alignment horizontal="center" vertical="center"/>
    </xf>
    <xf numFmtId="0" fontId="0" fillId="3" borderId="1" xfId="0" applyFill="1" applyBorder="1" applyAlignment="1" applyProtection="1">
      <alignment vertical="center"/>
      <protection locked="0"/>
    </xf>
    <xf numFmtId="167" fontId="0" fillId="0" borderId="18" xfId="0" applyNumberFormat="1" applyBorder="1" applyAlignment="1">
      <alignment horizontal="center" vertical="center"/>
    </xf>
    <xf numFmtId="0" fontId="0" fillId="0" borderId="0" xfId="0" applyBorder="1"/>
    <xf numFmtId="0" fontId="1" fillId="0" borderId="0" xfId="0" applyFont="1" applyBorder="1" applyAlignment="1">
      <alignment horizontal="center" vertical="center"/>
    </xf>
    <xf numFmtId="0" fontId="0" fillId="0" borderId="0" xfId="0" applyBorder="1" applyAlignment="1">
      <alignment horizontal="center" vertical="center"/>
    </xf>
    <xf numFmtId="167" fontId="0" fillId="0" borderId="0" xfId="0" applyNumberFormat="1" applyBorder="1" applyAlignment="1">
      <alignment horizontal="center" vertical="center"/>
    </xf>
    <xf numFmtId="167" fontId="0" fillId="0" borderId="0" xfId="0" applyNumberFormat="1" applyAlignment="1">
      <alignment horizontal="right"/>
    </xf>
    <xf numFmtId="43" fontId="8" fillId="4" borderId="1" xfId="4" applyNumberFormat="1" applyFont="1" applyFill="1" applyBorder="1" applyAlignment="1">
      <alignment horizontal="right" vertical="center" wrapText="1"/>
    </xf>
    <xf numFmtId="0" fontId="1" fillId="0" borderId="1" xfId="0" applyFont="1" applyBorder="1" applyAlignment="1">
      <alignment horizontal="center" vertical="center"/>
    </xf>
    <xf numFmtId="0" fontId="0" fillId="3" borderId="1" xfId="0" applyFill="1" applyBorder="1" applyAlignment="1" applyProtection="1">
      <alignment horizontal="center" vertical="center"/>
      <protection locked="0"/>
    </xf>
    <xf numFmtId="0" fontId="0" fillId="0" borderId="23" xfId="0" applyBorder="1"/>
    <xf numFmtId="0" fontId="1" fillId="0" borderId="23" xfId="0" applyFont="1" applyBorder="1" applyAlignment="1">
      <alignment horizontal="center" vertical="center"/>
    </xf>
    <xf numFmtId="0" fontId="0" fillId="0" borderId="23" xfId="0" applyBorder="1" applyAlignment="1">
      <alignment horizontal="center" vertical="center"/>
    </xf>
    <xf numFmtId="167" fontId="0" fillId="0" borderId="23" xfId="0" applyNumberFormat="1" applyBorder="1" applyAlignment="1">
      <alignment horizontal="center" vertical="center" wrapText="1"/>
    </xf>
    <xf numFmtId="167" fontId="0" fillId="0" borderId="23" xfId="0" applyNumberFormat="1" applyBorder="1" applyAlignment="1">
      <alignment horizontal="center" vertical="center"/>
    </xf>
    <xf numFmtId="0" fontId="0" fillId="0" borderId="23" xfId="0" applyBorder="1" applyAlignment="1">
      <alignment wrapText="1"/>
    </xf>
    <xf numFmtId="0" fontId="9" fillId="4" borderId="23" xfId="6" applyFont="1" applyFill="1" applyBorder="1" applyAlignment="1">
      <alignment horizontal="center" vertical="center" wrapText="1"/>
    </xf>
    <xf numFmtId="14" fontId="8" fillId="4" borderId="23" xfId="0" applyNumberFormat="1" applyFont="1" applyFill="1" applyBorder="1" applyAlignment="1">
      <alignment horizontal="center" vertical="center" wrapText="1"/>
    </xf>
    <xf numFmtId="0" fontId="9" fillId="4" borderId="23" xfId="6" applyFont="1" applyFill="1" applyBorder="1" applyAlignment="1">
      <alignment horizontal="center" vertical="center"/>
    </xf>
    <xf numFmtId="17" fontId="9" fillId="4" borderId="23" xfId="6" applyNumberFormat="1" applyFont="1" applyFill="1" applyBorder="1" applyAlignment="1">
      <alignment horizontal="center" vertical="center" wrapText="1"/>
    </xf>
    <xf numFmtId="14" fontId="9" fillId="4" borderId="23" xfId="6" applyNumberFormat="1" applyFont="1" applyFill="1" applyBorder="1" applyAlignment="1">
      <alignment horizontal="center" vertical="center" wrapText="1"/>
    </xf>
    <xf numFmtId="43" fontId="8" fillId="4" borderId="23" xfId="9" applyNumberFormat="1" applyFont="1" applyFill="1" applyBorder="1" applyAlignment="1">
      <alignment horizontal="left" vertical="center" wrapText="1"/>
    </xf>
    <xf numFmtId="0" fontId="10" fillId="5" borderId="25" xfId="0" applyFont="1" applyFill="1" applyBorder="1" applyAlignment="1">
      <alignment horizontal="center" vertical="center" wrapText="1"/>
    </xf>
    <xf numFmtId="14" fontId="10" fillId="5" borderId="25" xfId="0" applyNumberFormat="1" applyFont="1" applyFill="1" applyBorder="1" applyAlignment="1">
      <alignment horizontal="center" vertical="center" wrapText="1"/>
    </xf>
    <xf numFmtId="0" fontId="7" fillId="0" borderId="0" xfId="8" applyAlignment="1">
      <alignment horizontal="center" vertical="center"/>
    </xf>
    <xf numFmtId="0" fontId="1" fillId="0" borderId="23" xfId="0" applyFont="1" applyFill="1" applyBorder="1" applyAlignment="1">
      <alignment horizontal="center" vertical="center"/>
    </xf>
    <xf numFmtId="0" fontId="0" fillId="0" borderId="23" xfId="0" applyFill="1" applyBorder="1" applyAlignment="1">
      <alignment horizontal="center" vertical="center"/>
    </xf>
    <xf numFmtId="0" fontId="1" fillId="0" borderId="19" xfId="0" applyFont="1" applyFill="1" applyBorder="1" applyAlignment="1">
      <alignment horizontal="center" vertical="center"/>
    </xf>
    <xf numFmtId="173" fontId="0" fillId="0" borderId="0" xfId="0" applyNumberFormat="1"/>
    <xf numFmtId="167" fontId="0" fillId="6" borderId="0" xfId="0" applyNumberFormat="1" applyFill="1"/>
    <xf numFmtId="0" fontId="0" fillId="7" borderId="0" xfId="0" applyFill="1"/>
    <xf numFmtId="6" fontId="0" fillId="7" borderId="0" xfId="0" applyNumberFormat="1" applyFill="1"/>
    <xf numFmtId="0" fontId="0" fillId="7" borderId="1" xfId="0" applyFill="1" applyBorder="1" applyAlignment="1" applyProtection="1">
      <alignment vertical="center"/>
      <protection locked="0"/>
    </xf>
    <xf numFmtId="0" fontId="0" fillId="7" borderId="23" xfId="0" applyFill="1" applyBorder="1"/>
    <xf numFmtId="0" fontId="0" fillId="7" borderId="23" xfId="0" applyFill="1" applyBorder="1" applyAlignment="1">
      <alignment horizontal="center" vertical="center"/>
    </xf>
    <xf numFmtId="167" fontId="0" fillId="7" borderId="23" xfId="0" applyNumberFormat="1" applyFill="1" applyBorder="1" applyAlignment="1">
      <alignment horizontal="center" vertical="center" wrapText="1"/>
    </xf>
    <xf numFmtId="17" fontId="0" fillId="7" borderId="23" xfId="0" applyNumberFormat="1" applyFill="1" applyBorder="1"/>
    <xf numFmtId="14" fontId="7" fillId="0" borderId="0" xfId="8" applyNumberFormat="1" applyAlignment="1">
      <alignment horizontal="center" vertical="center"/>
    </xf>
    <xf numFmtId="42" fontId="7" fillId="0" borderId="0" xfId="10" applyFont="1" applyAlignment="1">
      <alignment horizontal="center" vertical="center"/>
    </xf>
    <xf numFmtId="0" fontId="1" fillId="0" borderId="1" xfId="0" applyFont="1" applyBorder="1" applyAlignment="1">
      <alignment horizontal="center" vertical="center"/>
    </xf>
    <xf numFmtId="0" fontId="0" fillId="0" borderId="0" xfId="0" applyAlignment="1">
      <alignment horizontal="center" vertical="center" wrapText="1"/>
    </xf>
    <xf numFmtId="0" fontId="0" fillId="2" borderId="1" xfId="0" applyFill="1" applyBorder="1" applyAlignment="1" applyProtection="1">
      <alignment vertical="center"/>
      <protection locked="0"/>
    </xf>
    <xf numFmtId="0" fontId="0" fillId="2" borderId="1" xfId="0" applyFill="1" applyBorder="1" applyAlignment="1" applyProtection="1">
      <alignment horizontal="center" vertical="center" wrapText="1"/>
      <protection locked="0"/>
    </xf>
    <xf numFmtId="42" fontId="0" fillId="2" borderId="0" xfId="10" applyFont="1" applyFill="1" applyAlignment="1">
      <alignment horizontal="center" wrapText="1"/>
    </xf>
    <xf numFmtId="42" fontId="0" fillId="2" borderId="0" xfId="10" applyFont="1" applyFill="1" applyAlignment="1">
      <alignment horizontal="center" vertical="center" wrapText="1"/>
    </xf>
    <xf numFmtId="0" fontId="0" fillId="2" borderId="0" xfId="0" applyFill="1" applyAlignment="1">
      <alignment horizontal="center" wrapText="1"/>
    </xf>
    <xf numFmtId="0" fontId="1" fillId="7" borderId="23" xfId="0" applyFont="1" applyFill="1" applyBorder="1" applyAlignment="1">
      <alignment vertical="center"/>
    </xf>
    <xf numFmtId="0" fontId="0" fillId="2" borderId="20" xfId="0" applyFill="1" applyBorder="1" applyAlignment="1" applyProtection="1">
      <alignment horizontal="center" vertical="center" wrapText="1"/>
      <protection locked="0"/>
    </xf>
    <xf numFmtId="42" fontId="0" fillId="2" borderId="23" xfId="10" applyFont="1" applyFill="1" applyBorder="1" applyAlignment="1">
      <alignment horizontal="center" wrapText="1"/>
    </xf>
    <xf numFmtId="42" fontId="0" fillId="2" borderId="23" xfId="10" applyFont="1" applyFill="1" applyBorder="1" applyAlignment="1">
      <alignment horizontal="center" vertical="center" wrapText="1"/>
    </xf>
    <xf numFmtId="0" fontId="0" fillId="2" borderId="20" xfId="0" applyFill="1" applyBorder="1" applyAlignment="1">
      <alignment horizontal="center" wrapText="1"/>
    </xf>
    <xf numFmtId="0" fontId="0" fillId="2" borderId="23" xfId="0" applyFill="1" applyBorder="1" applyAlignment="1">
      <alignment horizontal="center" wrapText="1"/>
    </xf>
    <xf numFmtId="167" fontId="1" fillId="0" borderId="1" xfId="0" applyNumberFormat="1" applyFont="1" applyBorder="1" applyAlignment="1">
      <alignment horizontal="center" vertical="center"/>
    </xf>
    <xf numFmtId="167" fontId="0" fillId="7" borderId="23" xfId="0" applyNumberFormat="1" applyFill="1" applyBorder="1"/>
    <xf numFmtId="0" fontId="0" fillId="6" borderId="0" xfId="0" applyFill="1"/>
    <xf numFmtId="3" fontId="0" fillId="8" borderId="0" xfId="0" applyNumberFormat="1" applyFill="1"/>
    <xf numFmtId="0" fontId="0" fillId="8" borderId="0" xfId="0" applyFill="1"/>
    <xf numFmtId="0" fontId="0" fillId="2" borderId="0" xfId="0" applyFill="1" applyBorder="1" applyAlignment="1" applyProtection="1">
      <alignment vertical="center"/>
      <protection locked="0"/>
    </xf>
    <xf numFmtId="0" fontId="0" fillId="0" borderId="0" xfId="0" applyAlignment="1">
      <alignment wrapText="1"/>
    </xf>
    <xf numFmtId="0" fontId="1" fillId="0" borderId="23" xfId="0" applyFont="1" applyBorder="1" applyAlignment="1">
      <alignment horizontal="center" vertical="center" wrapText="1"/>
    </xf>
    <xf numFmtId="0" fontId="0" fillId="0" borderId="23" xfId="0" applyBorder="1" applyAlignment="1">
      <alignment horizontal="center" vertical="center" wrapText="1"/>
    </xf>
    <xf numFmtId="0" fontId="0" fillId="7" borderId="0" xfId="0" applyFill="1" applyAlignment="1">
      <alignment wrapText="1"/>
    </xf>
    <xf numFmtId="0" fontId="0" fillId="7" borderId="23" xfId="0" applyFill="1" applyBorder="1" applyAlignment="1">
      <alignment wrapText="1"/>
    </xf>
    <xf numFmtId="0" fontId="0" fillId="7" borderId="23" xfId="0" applyFill="1" applyBorder="1" applyAlignment="1">
      <alignment horizontal="center" vertical="center" wrapText="1"/>
    </xf>
    <xf numFmtId="174" fontId="0" fillId="0" borderId="0" xfId="0" applyNumberFormat="1" applyAlignment="1">
      <alignment horizontal="center" vertical="center"/>
    </xf>
    <xf numFmtId="174" fontId="0" fillId="0" borderId="0" xfId="7" applyNumberFormat="1" applyFont="1" applyAlignment="1">
      <alignment horizontal="center" vertical="center"/>
    </xf>
    <xf numFmtId="0" fontId="1" fillId="0" borderId="0" xfId="0" applyFont="1" applyAlignment="1"/>
    <xf numFmtId="0" fontId="0" fillId="0" borderId="0" xfId="0" applyBorder="1" applyAlignment="1"/>
    <xf numFmtId="0" fontId="11" fillId="9" borderId="23" xfId="0" applyFont="1" applyFill="1" applyBorder="1" applyAlignment="1">
      <alignment horizontal="center" wrapText="1"/>
    </xf>
    <xf numFmtId="0" fontId="11" fillId="9" borderId="23" xfId="0" applyFont="1" applyFill="1" applyBorder="1" applyAlignment="1">
      <alignment horizontal="center"/>
    </xf>
    <xf numFmtId="0" fontId="11" fillId="9" borderId="23" xfId="0" applyFont="1" applyFill="1" applyBorder="1" applyAlignment="1">
      <alignment textRotation="90"/>
    </xf>
    <xf numFmtId="0" fontId="11" fillId="9" borderId="19" xfId="0" applyFont="1" applyFill="1" applyBorder="1" applyAlignment="1">
      <alignment horizontal="center"/>
    </xf>
    <xf numFmtId="0" fontId="0" fillId="0" borderId="0" xfId="0" applyFill="1"/>
    <xf numFmtId="0" fontId="1" fillId="0" borderId="23" xfId="0" applyFont="1" applyFill="1" applyBorder="1" applyAlignment="1">
      <alignment horizontal="center"/>
    </xf>
    <xf numFmtId="0" fontId="0" fillId="0" borderId="23" xfId="0" applyFill="1" applyBorder="1"/>
    <xf numFmtId="0" fontId="1" fillId="0" borderId="23" xfId="0" applyFont="1" applyBorder="1" applyAlignment="1">
      <alignment horizontal="center"/>
    </xf>
    <xf numFmtId="0" fontId="1" fillId="2" borderId="23" xfId="0" applyFont="1" applyFill="1" applyBorder="1" applyAlignment="1">
      <alignment horizontal="center" vertical="center" wrapText="1"/>
    </xf>
    <xf numFmtId="0" fontId="1" fillId="2" borderId="23" xfId="0" applyFont="1" applyFill="1" applyBorder="1" applyAlignment="1">
      <alignment horizontal="center"/>
    </xf>
    <xf numFmtId="0" fontId="0" fillId="2" borderId="23" xfId="0" applyFill="1" applyBorder="1"/>
    <xf numFmtId="0" fontId="0" fillId="4" borderId="23" xfId="0" applyFill="1" applyBorder="1"/>
    <xf numFmtId="0" fontId="1" fillId="4" borderId="23" xfId="0" applyFont="1" applyFill="1" applyBorder="1"/>
    <xf numFmtId="0" fontId="1" fillId="0" borderId="0" xfId="0" applyFont="1" applyAlignment="1">
      <alignment horizontal="left"/>
    </xf>
    <xf numFmtId="0" fontId="1" fillId="0" borderId="0" xfId="0" applyFont="1" applyAlignment="1">
      <alignment horizontal="center"/>
    </xf>
    <xf numFmtId="0" fontId="1" fillId="10" borderId="23" xfId="0" applyFont="1" applyFill="1" applyBorder="1" applyAlignment="1"/>
    <xf numFmtId="0" fontId="0" fillId="0" borderId="23" xfId="0" applyFont="1" applyBorder="1" applyAlignment="1">
      <alignment horizontal="left"/>
    </xf>
    <xf numFmtId="0" fontId="0" fillId="0" borderId="23" xfId="0" applyBorder="1" applyAlignment="1"/>
    <xf numFmtId="14" fontId="0" fillId="0" borderId="23" xfId="0" applyNumberFormat="1" applyBorder="1" applyAlignment="1">
      <alignment horizontal="center" vertical="center"/>
    </xf>
    <xf numFmtId="0" fontId="0" fillId="0" borderId="0" xfId="0" applyFont="1" applyBorder="1" applyAlignment="1">
      <alignment horizontal="left"/>
    </xf>
    <xf numFmtId="0" fontId="13" fillId="2" borderId="23" xfId="0" applyFont="1" applyFill="1" applyBorder="1" applyAlignment="1"/>
    <xf numFmtId="0" fontId="0" fillId="0" borderId="23" xfId="0" applyFill="1" applyBorder="1" applyAlignment="1">
      <alignment wrapText="1"/>
    </xf>
    <xf numFmtId="0" fontId="1" fillId="10" borderId="23" xfId="0" applyFont="1" applyFill="1" applyBorder="1"/>
    <xf numFmtId="0" fontId="12" fillId="0" borderId="23" xfId="0" applyFont="1" applyBorder="1" applyAlignment="1">
      <alignment horizontal="left"/>
    </xf>
    <xf numFmtId="0" fontId="13" fillId="0" borderId="23" xfId="0" applyFont="1" applyBorder="1"/>
    <xf numFmtId="0" fontId="0" fillId="0" borderId="23" xfId="0" applyFont="1" applyBorder="1"/>
    <xf numFmtId="14" fontId="0" fillId="0" borderId="23" xfId="0" applyNumberFormat="1" applyBorder="1"/>
    <xf numFmtId="14" fontId="0" fillId="0" borderId="0" xfId="0" applyNumberFormat="1" applyAlignment="1">
      <alignment horizontal="center" vertical="center"/>
    </xf>
    <xf numFmtId="0" fontId="14" fillId="0" borderId="23" xfId="0" applyFont="1" applyFill="1" applyBorder="1"/>
    <xf numFmtId="0" fontId="0" fillId="0" borderId="23" xfId="0" applyFont="1" applyFill="1" applyBorder="1"/>
    <xf numFmtId="14" fontId="0" fillId="0" borderId="0" xfId="0" applyNumberFormat="1" applyBorder="1" applyAlignment="1">
      <alignment horizontal="center" vertical="center"/>
    </xf>
    <xf numFmtId="0" fontId="0" fillId="0" borderId="23" xfId="0" applyFont="1" applyBorder="1" applyAlignment="1">
      <alignment wrapText="1"/>
    </xf>
    <xf numFmtId="0" fontId="1" fillId="10" borderId="23" xfId="0" applyFont="1" applyFill="1" applyBorder="1" applyAlignment="1">
      <alignment vertical="top"/>
    </xf>
    <xf numFmtId="0" fontId="0" fillId="0" borderId="23" xfId="0" applyFont="1" applyFill="1" applyBorder="1" applyAlignment="1">
      <alignment wrapText="1"/>
    </xf>
    <xf numFmtId="0" fontId="1" fillId="0" borderId="1" xfId="0" applyFont="1" applyBorder="1" applyAlignment="1">
      <alignment horizontal="center" vertical="center"/>
    </xf>
    <xf numFmtId="170" fontId="0" fillId="0" borderId="1" xfId="0" applyNumberFormat="1" applyBorder="1" applyAlignment="1">
      <alignment horizontal="center" vertical="center"/>
    </xf>
    <xf numFmtId="0" fontId="0" fillId="0" borderId="0" xfId="0" applyBorder="1" applyAlignment="1">
      <alignment horizontal="center" vertical="center" wrapText="1"/>
    </xf>
    <xf numFmtId="0" fontId="12" fillId="0" borderId="0" xfId="0" applyFont="1" applyBorder="1"/>
    <xf numFmtId="0" fontId="15" fillId="0" borderId="23" xfId="0" applyFont="1" applyBorder="1" applyAlignment="1">
      <alignment horizontal="center" vertical="center" wrapText="1"/>
    </xf>
    <xf numFmtId="0" fontId="1" fillId="0" borderId="1" xfId="0" applyFont="1" applyBorder="1" applyAlignment="1">
      <alignment horizontal="center" vertical="center"/>
    </xf>
    <xf numFmtId="170" fontId="0" fillId="0" borderId="1" xfId="0" applyNumberFormat="1" applyBorder="1" applyAlignment="1">
      <alignment horizontal="center" vertical="center"/>
    </xf>
    <xf numFmtId="0" fontId="0" fillId="0" borderId="0" xfId="0" applyAlignment="1">
      <alignment horizontal="center" vertical="center" wrapText="1"/>
    </xf>
    <xf numFmtId="0" fontId="0" fillId="0" borderId="0" xfId="0" applyAlignment="1">
      <alignment horizontal="right"/>
    </xf>
    <xf numFmtId="0" fontId="1" fillId="0" borderId="23" xfId="0" applyFont="1" applyFill="1" applyBorder="1"/>
    <xf numFmtId="0" fontId="1" fillId="0" borderId="23" xfId="0" applyFont="1" applyBorder="1"/>
    <xf numFmtId="0" fontId="1" fillId="0" borderId="19" xfId="0" applyFont="1" applyFill="1" applyBorder="1"/>
    <xf numFmtId="14" fontId="0" fillId="0" borderId="23" xfId="0" applyNumberFormat="1" applyFont="1" applyBorder="1"/>
    <xf numFmtId="17" fontId="0" fillId="0" borderId="23" xfId="0" applyNumberFormat="1" applyBorder="1" applyAlignment="1"/>
    <xf numFmtId="0" fontId="0" fillId="2" borderId="23" xfId="0" applyFill="1" applyBorder="1" applyAlignment="1">
      <alignment horizontal="center" vertical="center"/>
    </xf>
    <xf numFmtId="0" fontId="0" fillId="0" borderId="3" xfId="0" applyBorder="1"/>
    <xf numFmtId="0" fontId="0" fillId="0" borderId="3" xfId="0" applyBorder="1" applyAlignment="1">
      <alignment horizontal="center" vertical="center"/>
    </xf>
    <xf numFmtId="0" fontId="11" fillId="9" borderId="23" xfId="0" applyFont="1" applyFill="1" applyBorder="1" applyAlignment="1">
      <alignment horizontal="right" wrapText="1"/>
    </xf>
    <xf numFmtId="0" fontId="11" fillId="9" borderId="29" xfId="0" applyFont="1" applyFill="1" applyBorder="1" applyAlignment="1">
      <alignment horizontal="center" vertical="center" wrapText="1"/>
    </xf>
    <xf numFmtId="0" fontId="0" fillId="0" borderId="0" xfId="0" applyAlignment="1">
      <alignment vertical="center"/>
    </xf>
    <xf numFmtId="0" fontId="0" fillId="3" borderId="23" xfId="0" applyFill="1" applyBorder="1" applyAlignment="1" applyProtection="1">
      <alignment vertical="center"/>
      <protection locked="0"/>
    </xf>
    <xf numFmtId="0" fontId="0" fillId="3" borderId="23" xfId="0" applyFill="1" applyBorder="1" applyAlignment="1" applyProtection="1">
      <alignment horizontal="center" vertical="center"/>
      <protection locked="0"/>
    </xf>
    <xf numFmtId="1" fontId="0" fillId="0" borderId="23" xfId="0" applyNumberFormat="1" applyBorder="1" applyAlignment="1">
      <alignment horizontal="center" vertical="center"/>
    </xf>
    <xf numFmtId="165" fontId="0" fillId="0" borderId="23" xfId="11" applyFont="1" applyBorder="1" applyAlignment="1">
      <alignment horizontal="center" vertical="center"/>
    </xf>
    <xf numFmtId="165" fontId="0" fillId="3" borderId="3" xfId="11" applyFont="1" applyFill="1" applyBorder="1" applyAlignment="1" applyProtection="1">
      <alignment vertical="center"/>
      <protection locked="0"/>
    </xf>
    <xf numFmtId="176" fontId="0" fillId="3" borderId="3" xfId="0" applyNumberFormat="1" applyFill="1" applyBorder="1" applyAlignment="1" applyProtection="1">
      <alignment vertical="center"/>
      <protection locked="0"/>
    </xf>
    <xf numFmtId="0" fontId="11" fillId="9" borderId="35" xfId="0" applyFont="1" applyFill="1" applyBorder="1" applyAlignment="1">
      <alignment horizontal="center" vertical="center" wrapText="1"/>
    </xf>
    <xf numFmtId="0" fontId="16" fillId="0" borderId="23" xfId="0" applyFont="1" applyBorder="1" applyAlignment="1">
      <alignment horizontal="center" wrapText="1"/>
    </xf>
    <xf numFmtId="42" fontId="7" fillId="0" borderId="0" xfId="8" applyNumberFormat="1"/>
    <xf numFmtId="0" fontId="17" fillId="0" borderId="23" xfId="1" applyFont="1" applyFill="1" applyBorder="1" applyAlignment="1" applyProtection="1">
      <alignment vertical="top" wrapText="1" readingOrder="1"/>
      <protection locked="0"/>
    </xf>
    <xf numFmtId="175" fontId="17" fillId="0" borderId="23" xfId="1" applyNumberFormat="1" applyFont="1" applyFill="1" applyBorder="1" applyAlignment="1" applyProtection="1">
      <alignment vertical="top" wrapText="1" readingOrder="1"/>
      <protection locked="0"/>
    </xf>
    <xf numFmtId="171" fontId="17" fillId="0" borderId="23" xfId="1" applyNumberFormat="1" applyFont="1" applyFill="1" applyBorder="1" applyAlignment="1" applyProtection="1">
      <alignment vertical="top" wrapText="1" readingOrder="1"/>
      <protection locked="0"/>
    </xf>
    <xf numFmtId="14" fontId="0" fillId="0" borderId="0" xfId="0" applyNumberFormat="1" applyBorder="1" applyAlignment="1">
      <alignment horizontal="center" vertical="center" wrapText="1"/>
    </xf>
    <xf numFmtId="3" fontId="0" fillId="0" borderId="0" xfId="0" applyNumberFormat="1" applyBorder="1" applyAlignment="1">
      <alignment vertical="center" wrapText="1"/>
    </xf>
    <xf numFmtId="0" fontId="14" fillId="0" borderId="0" xfId="0" applyFont="1" applyBorder="1" applyAlignment="1">
      <alignment horizontal="center" vertical="center" wrapText="1"/>
    </xf>
    <xf numFmtId="3" fontId="0" fillId="0" borderId="0" xfId="0" applyNumberFormat="1" applyAlignment="1">
      <alignment vertical="center" wrapText="1"/>
    </xf>
    <xf numFmtId="14" fontId="0" fillId="0" borderId="0" xfId="0" applyNumberFormat="1" applyFont="1" applyBorder="1" applyAlignment="1">
      <alignment horizontal="center" vertical="center" wrapText="1"/>
    </xf>
    <xf numFmtId="14" fontId="14" fillId="0" borderId="0" xfId="0" applyNumberFormat="1" applyFont="1" applyBorder="1" applyAlignment="1">
      <alignment horizontal="center" vertical="center"/>
    </xf>
    <xf numFmtId="14" fontId="15" fillId="0" borderId="23" xfId="0" applyNumberFormat="1" applyFont="1" applyBorder="1" applyAlignment="1">
      <alignment horizontal="center" vertical="center" wrapText="1"/>
    </xf>
    <xf numFmtId="14" fontId="15" fillId="11" borderId="23" xfId="0" applyNumberFormat="1" applyFont="1" applyFill="1" applyBorder="1" applyAlignment="1">
      <alignment horizontal="center" vertical="center" wrapText="1"/>
    </xf>
    <xf numFmtId="0" fontId="0" fillId="0" borderId="0" xfId="0" applyBorder="1" applyAlignment="1">
      <alignment horizontal="right" vertical="center" wrapText="1"/>
    </xf>
    <xf numFmtId="164" fontId="20" fillId="0" borderId="23" xfId="0" applyNumberFormat="1" applyFont="1" applyBorder="1" applyAlignment="1">
      <alignment horizontal="right"/>
    </xf>
    <xf numFmtId="14" fontId="20" fillId="0" borderId="23" xfId="0" applyNumberFormat="1" applyFont="1" applyBorder="1" applyAlignment="1">
      <alignment horizontal="center" vertical="center" wrapText="1"/>
    </xf>
    <xf numFmtId="0" fontId="20" fillId="0" borderId="23" xfId="0" applyFont="1" applyBorder="1" applyAlignment="1">
      <alignment horizontal="center"/>
    </xf>
    <xf numFmtId="14" fontId="20" fillId="0" borderId="23" xfId="0" applyNumberFormat="1" applyFont="1" applyBorder="1" applyAlignment="1">
      <alignment horizontal="center"/>
    </xf>
    <xf numFmtId="0" fontId="11" fillId="9" borderId="2" xfId="0" applyFont="1" applyFill="1" applyBorder="1" applyAlignment="1">
      <alignment horizontal="center" wrapText="1"/>
    </xf>
    <xf numFmtId="0" fontId="11" fillId="9" borderId="20" xfId="0" applyFont="1" applyFill="1" applyBorder="1" applyAlignment="1">
      <alignment horizontal="center" wrapText="1"/>
    </xf>
    <xf numFmtId="0" fontId="11" fillId="9" borderId="2" xfId="0" applyFont="1" applyFill="1" applyBorder="1" applyAlignment="1">
      <alignment horizontal="center" vertical="center" wrapText="1"/>
    </xf>
    <xf numFmtId="0" fontId="11" fillId="9" borderId="20" xfId="0" applyFont="1" applyFill="1" applyBorder="1" applyAlignment="1">
      <alignment horizontal="center" vertical="center" wrapText="1"/>
    </xf>
    <xf numFmtId="0" fontId="1" fillId="2" borderId="0" xfId="0" applyFont="1" applyFill="1" applyBorder="1" applyAlignment="1">
      <alignment horizontal="center"/>
    </xf>
    <xf numFmtId="0" fontId="1" fillId="0" borderId="0" xfId="0" applyFont="1" applyAlignment="1">
      <alignment horizontal="left"/>
    </xf>
    <xf numFmtId="0" fontId="1" fillId="4" borderId="23" xfId="0" applyFont="1" applyFill="1" applyBorder="1" applyAlignment="1">
      <alignment horizontal="center"/>
    </xf>
    <xf numFmtId="0" fontId="0" fillId="0" borderId="23" xfId="0" applyBorder="1" applyAlignment="1">
      <alignment horizontal="center"/>
    </xf>
    <xf numFmtId="0" fontId="1" fillId="0" borderId="23" xfId="0" applyFont="1" applyBorder="1" applyAlignment="1">
      <alignment horizontal="center" wrapText="1"/>
    </xf>
    <xf numFmtId="0" fontId="0" fillId="0" borderId="23" xfId="0" applyFill="1" applyBorder="1" applyAlignment="1">
      <alignment horizontal="center" vertical="center" wrapText="1"/>
    </xf>
    <xf numFmtId="0" fontId="0" fillId="0" borderId="23" xfId="0" applyFill="1" applyBorder="1" applyAlignment="1">
      <alignment horizontal="center"/>
    </xf>
    <xf numFmtId="0" fontId="0" fillId="0" borderId="23" xfId="0" applyBorder="1" applyAlignment="1">
      <alignment horizontal="center" vertical="center" wrapText="1"/>
    </xf>
    <xf numFmtId="0" fontId="13" fillId="0" borderId="23" xfId="0" applyFont="1" applyFill="1" applyBorder="1" applyAlignment="1">
      <alignment horizontal="center" vertical="center" wrapText="1"/>
    </xf>
    <xf numFmtId="0" fontId="0" fillId="0" borderId="21" xfId="0" applyBorder="1" applyAlignment="1">
      <alignment horizontal="center"/>
    </xf>
    <xf numFmtId="0" fontId="0" fillId="0" borderId="19" xfId="0" applyBorder="1" applyAlignment="1">
      <alignment horizontal="center"/>
    </xf>
    <xf numFmtId="0" fontId="0" fillId="0" borderId="15" xfId="0" applyBorder="1" applyAlignment="1">
      <alignment horizontal="center"/>
    </xf>
    <xf numFmtId="0" fontId="13" fillId="0" borderId="23"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5" xfId="0" applyFont="1" applyBorder="1" applyAlignment="1">
      <alignment horizontal="center" vertical="center" wrapText="1"/>
    </xf>
    <xf numFmtId="0" fontId="1" fillId="4" borderId="2" xfId="0" applyFont="1" applyFill="1" applyBorder="1" applyAlignment="1">
      <alignment horizontal="center"/>
    </xf>
    <xf numFmtId="0" fontId="1" fillId="4" borderId="28" xfId="0" applyFont="1" applyFill="1" applyBorder="1" applyAlignment="1">
      <alignment horizontal="center"/>
    </xf>
    <xf numFmtId="0" fontId="1" fillId="4" borderId="20" xfId="0" applyFont="1" applyFill="1" applyBorder="1" applyAlignment="1">
      <alignment horizontal="center"/>
    </xf>
    <xf numFmtId="0" fontId="0" fillId="0" borderId="0" xfId="0" applyBorder="1" applyAlignment="1">
      <alignment horizontal="center"/>
    </xf>
    <xf numFmtId="0" fontId="1" fillId="0" borderId="0" xfId="0" applyFont="1" applyAlignment="1">
      <alignment horizontal="center"/>
    </xf>
    <xf numFmtId="0" fontId="0" fillId="0" borderId="0" xfId="0" applyAlignment="1">
      <alignment horizontal="right"/>
    </xf>
    <xf numFmtId="0" fontId="0" fillId="0" borderId="0" xfId="0" applyAlignment="1">
      <alignment horizontal="center"/>
    </xf>
    <xf numFmtId="0" fontId="1" fillId="7" borderId="13" xfId="0" applyFont="1" applyFill="1" applyBorder="1" applyAlignment="1">
      <alignment horizontal="center" vertical="center"/>
    </xf>
    <xf numFmtId="0" fontId="1" fillId="7" borderId="15" xfId="0" applyFont="1" applyFill="1" applyBorder="1" applyAlignment="1">
      <alignment horizontal="center" vertical="center"/>
    </xf>
    <xf numFmtId="0" fontId="1" fillId="7" borderId="23" xfId="0" applyFont="1" applyFill="1" applyBorder="1" applyAlignment="1">
      <alignment horizontal="center" vertical="center"/>
    </xf>
    <xf numFmtId="0" fontId="1" fillId="0" borderId="16" xfId="0" applyFont="1" applyBorder="1" applyAlignment="1">
      <alignment horizontal="left"/>
    </xf>
    <xf numFmtId="0" fontId="1" fillId="0" borderId="16" xfId="0" applyFont="1" applyBorder="1" applyAlignment="1">
      <alignment horizont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23" xfId="0" applyFont="1" applyBorder="1" applyAlignment="1">
      <alignment horizontal="center" vertical="center"/>
    </xf>
    <xf numFmtId="0" fontId="0" fillId="0" borderId="0" xfId="0" applyAlignment="1">
      <alignment horizontal="center" wrapText="1"/>
    </xf>
    <xf numFmtId="0" fontId="1" fillId="3" borderId="0" xfId="0" applyFont="1" applyFill="1" applyBorder="1" applyAlignment="1" applyProtection="1">
      <alignment horizontal="center" vertical="center" wrapText="1"/>
      <protection locked="0"/>
    </xf>
    <xf numFmtId="0" fontId="11" fillId="9" borderId="33" xfId="0" applyFont="1" applyFill="1" applyBorder="1" applyAlignment="1">
      <alignment horizontal="center" vertical="center" wrapText="1"/>
    </xf>
    <xf numFmtId="0" fontId="11" fillId="9" borderId="32" xfId="0" applyFont="1" applyFill="1" applyBorder="1" applyAlignment="1">
      <alignment horizontal="center" vertical="center" wrapText="1"/>
    </xf>
    <xf numFmtId="0" fontId="1" fillId="3" borderId="17" xfId="0" applyFont="1" applyFill="1" applyBorder="1" applyAlignment="1" applyProtection="1">
      <alignment horizontal="center" vertical="center"/>
      <protection locked="0"/>
    </xf>
    <xf numFmtId="0" fontId="1" fillId="3" borderId="34" xfId="0" applyFont="1" applyFill="1" applyBorder="1" applyAlignment="1" applyProtection="1">
      <alignment horizontal="center" vertical="center"/>
      <protection locked="0"/>
    </xf>
    <xf numFmtId="0" fontId="11" fillId="9" borderId="29" xfId="0" applyFont="1" applyFill="1" applyBorder="1" applyAlignment="1">
      <alignment horizontal="center" vertical="center" wrapText="1"/>
    </xf>
    <xf numFmtId="0" fontId="11" fillId="9" borderId="30" xfId="0" applyFont="1" applyFill="1" applyBorder="1" applyAlignment="1">
      <alignment horizontal="center" vertical="center" wrapText="1"/>
    </xf>
    <xf numFmtId="0" fontId="11" fillId="9" borderId="31" xfId="0" applyFont="1" applyFill="1" applyBorder="1" applyAlignment="1">
      <alignment horizontal="center" vertical="center" wrapText="1"/>
    </xf>
    <xf numFmtId="0" fontId="11" fillId="9" borderId="21" xfId="0" applyFont="1" applyFill="1" applyBorder="1" applyAlignment="1">
      <alignment horizontal="center" vertical="center" wrapText="1"/>
    </xf>
    <xf numFmtId="0" fontId="0" fillId="0" borderId="24" xfId="0" applyBorder="1" applyAlignment="1">
      <alignment horizontal="center"/>
    </xf>
    <xf numFmtId="0" fontId="1" fillId="0" borderId="21" xfId="0" applyFont="1" applyBorder="1" applyAlignment="1">
      <alignment horizontal="center" vertical="center"/>
    </xf>
    <xf numFmtId="0" fontId="1" fillId="0" borderId="19" xfId="0" applyFont="1" applyBorder="1" applyAlignment="1">
      <alignment horizontal="center" vertical="center"/>
    </xf>
    <xf numFmtId="0" fontId="1" fillId="0" borderId="1" xfId="0" applyFont="1" applyBorder="1" applyAlignment="1">
      <alignment horizontal="center" vertical="center"/>
    </xf>
    <xf numFmtId="0" fontId="0" fillId="3" borderId="0" xfId="0" applyFill="1" applyBorder="1" applyAlignment="1" applyProtection="1">
      <alignment horizontal="justify" vertical="center" wrapText="1"/>
      <protection locked="0"/>
    </xf>
    <xf numFmtId="0" fontId="1" fillId="0" borderId="18" xfId="0" applyFont="1" applyBorder="1" applyAlignment="1">
      <alignment horizontal="center" vertical="center"/>
    </xf>
    <xf numFmtId="0" fontId="0" fillId="0" borderId="16" xfId="0" applyBorder="1" applyAlignment="1">
      <alignment horizontal="center" wrapText="1"/>
    </xf>
    <xf numFmtId="0" fontId="1" fillId="0" borderId="0" xfId="0" applyFont="1" applyBorder="1" applyAlignment="1">
      <alignment horizontal="center" vertical="center"/>
    </xf>
    <xf numFmtId="0" fontId="0" fillId="0" borderId="22" xfId="0" applyBorder="1" applyAlignment="1">
      <alignment horizontal="center"/>
    </xf>
    <xf numFmtId="0" fontId="1" fillId="2" borderId="21"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36"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11" fillId="9" borderId="19" xfId="0" applyFont="1" applyFill="1" applyBorder="1" applyAlignment="1">
      <alignment horizontal="center" vertical="center" wrapText="1"/>
    </xf>
    <xf numFmtId="0" fontId="0" fillId="0" borderId="0" xfId="0" applyAlignment="1">
      <alignment horizontal="center" vertical="center" wrapText="1"/>
    </xf>
    <xf numFmtId="170" fontId="0" fillId="0" borderId="1" xfId="0" applyNumberFormat="1" applyBorder="1" applyAlignment="1">
      <alignment horizontal="center" vertical="center"/>
    </xf>
    <xf numFmtId="167" fontId="0" fillId="0" borderId="10" xfId="0" applyNumberFormat="1" applyBorder="1" applyAlignment="1">
      <alignment horizontal="center"/>
    </xf>
    <xf numFmtId="167" fontId="0" fillId="0" borderId="11" xfId="0" applyNumberFormat="1" applyBorder="1" applyAlignment="1">
      <alignment horizontal="center"/>
    </xf>
    <xf numFmtId="0" fontId="1" fillId="0" borderId="24" xfId="0" applyFont="1" applyBorder="1" applyAlignment="1">
      <alignment horizontal="center" vertical="center"/>
    </xf>
    <xf numFmtId="0" fontId="0" fillId="0" borderId="24" xfId="0" applyBorder="1"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1" fillId="9" borderId="39" xfId="0" applyFont="1" applyFill="1" applyBorder="1" applyAlignment="1">
      <alignment horizontal="center" vertical="center" wrapText="1"/>
    </xf>
    <xf numFmtId="0" fontId="11" fillId="9" borderId="40" xfId="0" applyFont="1" applyFill="1" applyBorder="1" applyAlignment="1">
      <alignment horizontal="center" vertical="center" wrapText="1"/>
    </xf>
    <xf numFmtId="0" fontId="17" fillId="0" borderId="23" xfId="1" applyFont="1" applyFill="1" applyBorder="1" applyAlignment="1" applyProtection="1">
      <alignment vertical="top" wrapText="1" readingOrder="1"/>
      <protection locked="0"/>
    </xf>
    <xf numFmtId="0" fontId="18" fillId="0" borderId="23" xfId="1" applyFont="1" applyFill="1" applyBorder="1" applyAlignment="1" applyProtection="1">
      <alignment vertical="top" wrapText="1"/>
      <protection locked="0"/>
    </xf>
    <xf numFmtId="0" fontId="17" fillId="0" borderId="23" xfId="1" applyFont="1" applyBorder="1" applyAlignment="1" applyProtection="1">
      <alignment vertical="top" wrapText="1" readingOrder="1"/>
      <protection locked="0"/>
    </xf>
    <xf numFmtId="177" fontId="17" fillId="0" borderId="23" xfId="1" applyNumberFormat="1" applyFont="1" applyFill="1" applyBorder="1" applyAlignment="1" applyProtection="1">
      <alignment vertical="top" wrapText="1" readingOrder="1"/>
      <protection locked="0"/>
    </xf>
    <xf numFmtId="177" fontId="18" fillId="0" borderId="23" xfId="1" applyNumberFormat="1" applyFont="1" applyFill="1" applyBorder="1" applyAlignment="1" applyProtection="1">
      <alignment vertical="top" wrapText="1"/>
      <protection locked="0"/>
    </xf>
    <xf numFmtId="0" fontId="19" fillId="0" borderId="0" xfId="0" applyFont="1" applyAlignment="1">
      <alignment horizontal="center" vertical="center" wrapText="1"/>
    </xf>
    <xf numFmtId="0" fontId="7" fillId="0" borderId="26" xfId="8" applyBorder="1" applyAlignment="1">
      <alignment horizontal="center"/>
    </xf>
    <xf numFmtId="0" fontId="7" fillId="0" borderId="27" xfId="8" applyBorder="1" applyAlignment="1">
      <alignment horizontal="center" vertical="center"/>
    </xf>
    <xf numFmtId="0" fontId="7" fillId="0" borderId="0" xfId="8" applyAlignment="1">
      <alignment horizontal="center" vertical="center"/>
    </xf>
    <xf numFmtId="0" fontId="7" fillId="0" borderId="0" xfId="8" applyBorder="1" applyAlignment="1">
      <alignment horizontal="center" vertical="center"/>
    </xf>
  </cellXfs>
  <cellStyles count="12">
    <cellStyle name="Hipervínculo 2" xfId="5"/>
    <cellStyle name="Millares" xfId="9" builtinId="3"/>
    <cellStyle name="Millares 2" xfId="4"/>
    <cellStyle name="Millares 3" xfId="7"/>
    <cellStyle name="Moneda" xfId="11" builtinId="4"/>
    <cellStyle name="Moneda [0]" xfId="10" builtinId="7"/>
    <cellStyle name="Moneda [0] 2" xfId="3"/>
    <cellStyle name="Moneda 2" xfId="2"/>
    <cellStyle name="Normal" xfId="0" builtinId="0"/>
    <cellStyle name="Normal 2" xfId="1"/>
    <cellStyle name="Normal 3" xfId="6"/>
    <cellStyle name="Normal 4" xfId="8"/>
  </cellStyles>
  <dxfs count="17">
    <dxf>
      <font>
        <strike val="0"/>
        <outline val="0"/>
        <shadow val="0"/>
        <u val="none"/>
        <vertAlign val="baseline"/>
        <sz val="16"/>
        <color rgb="FF000000"/>
        <name val="Calibri"/>
        <scheme val="minor"/>
      </font>
      <numFmt numFmtId="164" formatCode="&quot;$&quot;\ #,##0_);[Red]\(&quot;$&quot;\ #,##0\)"/>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6"/>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6"/>
        <name val="Calibri"/>
        <scheme val="minor"/>
      </font>
      <numFmt numFmtId="178"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6"/>
        <color rgb="FF000000"/>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6"/>
        <color rgb="FF000000"/>
        <name val="Calibri"/>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6"/>
        <name val="Calibri"/>
        <scheme val="minor"/>
      </font>
      <numFmt numFmtId="178" formatCode="dd/mm/yyyy"/>
      <fill>
        <patternFill patternType="solid">
          <fgColor theme="0" tint="-0.14999847407452621"/>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strike val="0"/>
        <outline val="0"/>
        <shadow val="0"/>
        <u val="none"/>
        <vertAlign val="baseline"/>
        <sz val="16"/>
        <name val="Calibri"/>
        <scheme val="minor"/>
      </font>
    </dxf>
    <dxf>
      <alignment horizontal="center" vertical="center" textRotation="0" wrapText="1" indent="0" justifyLastLine="0" shrinkToFit="0" readingOrder="0"/>
      <border diagonalUp="0" diagonalDown="0" outline="0">
        <left style="thin">
          <color indexed="64"/>
        </left>
        <right style="thin">
          <color indexed="64"/>
        </right>
        <top/>
        <bottom/>
      </border>
    </dxf>
    <dxf>
      <numFmt numFmtId="3" formatCode="#,##0"/>
      <alignment horizontal="general" vertical="center" textRotation="0" wrapText="1" indent="0" justifyLastLine="0" shrinkToFit="0" readingOrder="0"/>
    </dxf>
    <dxf>
      <alignment horizontal="center" vertical="center" textRotation="0" wrapText="1" indent="0" justifyLastLine="0" shrinkToFit="0" readingOrder="0"/>
    </dxf>
    <dxf>
      <numFmt numFmtId="178" formatCode="dd/mm/yyyy"/>
      <alignment horizontal="center" vertical="center" textRotation="0" wrapText="1" indent="0" justifyLastLine="0" shrinkToFit="0" readingOrder="0"/>
      <border diagonalUp="0" diagonalDown="0">
        <left/>
        <right style="thin">
          <color indexed="64"/>
        </right>
        <top/>
        <bottom/>
        <vertical/>
        <horizontal/>
      </border>
    </dxf>
    <dxf>
      <alignment horizontal="center" vertical="center" textRotation="0" wrapText="1" indent="0" justifyLastLine="0" shrinkToFit="0" readingOrder="0"/>
      <border diagonalUp="0" diagonalDown="0">
        <left/>
        <right style="thin">
          <color indexed="64"/>
        </right>
        <top/>
        <bottom/>
        <vertical/>
        <horizontal/>
      </border>
    </dxf>
    <dxf>
      <alignment horizontal="center" vertical="center" textRotation="0" wrapText="1" indent="0" justifyLastLine="0" shrinkToFit="0" readingOrder="0"/>
      <border diagonalUp="0" diagonalDown="0">
        <left/>
        <right style="thin">
          <color indexed="64"/>
        </right>
        <top/>
        <bottom/>
        <vertical/>
        <horizontal/>
      </border>
    </dxf>
    <dxf>
      <alignment horizontal="center" vertical="center" textRotation="0" wrapText="1" indent="0" justifyLastLine="0" shrinkToFit="0" readingOrder="0"/>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arget="../media/image1.jpeg" Type="http://schemas.openxmlformats.org/officeDocument/2006/relationships/image"/></Relationships>
</file>

<file path=xl/drawings/_rels/drawing2.xml.rels><?xml version="1.0" encoding="UTF-8" standalone="yes" ?><Relationships xmlns="http://schemas.openxmlformats.org/package/2006/relationships"><Relationship Id="rId2" Target="../media/image3.jpeg" Type="http://schemas.openxmlformats.org/officeDocument/2006/relationships/image"/><Relationship Id="rId1" Target="../media/image2.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5</xdr:col>
      <xdr:colOff>19050</xdr:colOff>
      <xdr:row>25</xdr:row>
      <xdr:rowOff>9525</xdr:rowOff>
    </xdr:from>
    <xdr:to>
      <xdr:col>17</xdr:col>
      <xdr:colOff>474900</xdr:colOff>
      <xdr:row>67</xdr:row>
      <xdr:rowOff>108525</xdr:rowOff>
    </xdr:to>
    <xdr:pic>
      <xdr:nvPicPr>
        <xdr:cNvPr id="3" name="Imagen 2"/>
        <xdr:cNvPicPr>
          <a:picLocks noChangeAspect="1"/>
        </xdr:cNvPicPr>
      </xdr:nvPicPr>
      <xdr:blipFill>
        <a:blip xmlns:r="http://schemas.openxmlformats.org/officeDocument/2006/relationships" r:embed="rId1"/>
        <a:stretch>
          <a:fillRect/>
        </a:stretch>
      </xdr:blipFill>
      <xdr:spPr>
        <a:xfrm>
          <a:off x="6048375" y="4781550"/>
          <a:ext cx="10800000" cy="81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174000</xdr:colOff>
      <xdr:row>23</xdr:row>
      <xdr:rowOff>16500</xdr:rowOff>
    </xdr:from>
    <xdr:to>
      <xdr:col>26</xdr:col>
      <xdr:colOff>306000</xdr:colOff>
      <xdr:row>64</xdr:row>
      <xdr:rowOff>96450</xdr:rowOff>
    </xdr:to>
    <xdr:pic>
      <xdr:nvPicPr>
        <xdr:cNvPr id="3" name="Imagen 2"/>
        <xdr:cNvPicPr>
          <a:picLocks noChangeAspect="1"/>
        </xdr:cNvPicPr>
      </xdr:nvPicPr>
      <xdr:blipFill>
        <a:blip xmlns:r="http://schemas.openxmlformats.org/officeDocument/2006/relationships" r:embed="rId1"/>
        <a:stretch>
          <a:fillRect/>
        </a:stretch>
      </xdr:blipFill>
      <xdr:spPr>
        <a:xfrm rot="16200000">
          <a:off x="12087225" y="3048000"/>
          <a:ext cx="8100000" cy="10800000"/>
        </a:xfrm>
        <a:prstGeom prst="rect">
          <a:avLst/>
        </a:prstGeom>
      </xdr:spPr>
    </xdr:pic>
    <xdr:clientData/>
  </xdr:twoCellAnchor>
  <xdr:twoCellAnchor editAs="oneCell">
    <xdr:from>
      <xdr:col>12</xdr:col>
      <xdr:colOff>142875</xdr:colOff>
      <xdr:row>64</xdr:row>
      <xdr:rowOff>95250</xdr:rowOff>
    </xdr:from>
    <xdr:to>
      <xdr:col>26</xdr:col>
      <xdr:colOff>274875</xdr:colOff>
      <xdr:row>107</xdr:row>
      <xdr:rowOff>3750</xdr:rowOff>
    </xdr:to>
    <xdr:pic>
      <xdr:nvPicPr>
        <xdr:cNvPr id="4" name="Imagen 3"/>
        <xdr:cNvPicPr>
          <a:picLocks noChangeAspect="1"/>
        </xdr:cNvPicPr>
      </xdr:nvPicPr>
      <xdr:blipFill>
        <a:blip xmlns:r="http://schemas.openxmlformats.org/officeDocument/2006/relationships" r:embed="rId2"/>
        <a:stretch>
          <a:fillRect/>
        </a:stretch>
      </xdr:blipFill>
      <xdr:spPr>
        <a:xfrm>
          <a:off x="10706100" y="12668250"/>
          <a:ext cx="10800000" cy="8100000"/>
        </a:xfrm>
        <a:prstGeom prst="rect">
          <a:avLst/>
        </a:prstGeom>
      </xdr:spPr>
    </xdr:pic>
    <xdr:clientData/>
  </xdr:twoCellAnchor>
</xdr:wsDr>
</file>

<file path=xl/tables/table1.xml><?xml version="1.0" encoding="utf-8"?>
<table xmlns="http://schemas.openxmlformats.org/spreadsheetml/2006/main" id="2" name="Tabla4" displayName="Tabla4" ref="A1:F70" totalsRowShown="0" headerRowDxfId="16" tableBorderDxfId="15">
  <autoFilter ref="A1:F70"/>
  <tableColumns count="6">
    <tableColumn id="1" name="MES DEL GASTO" dataDxfId="14"/>
    <tableColumn id="2" name="PLACA DEL VEHICULO" dataDxfId="13"/>
    <tableColumn id="3" name="NUMERO COMPROBANTE DE COMPRA" dataDxfId="12"/>
    <tableColumn id="4" name="FECHA DEL COMPROBANTE" dataDxfId="11"/>
    <tableColumn id="5" name="TIPO DE MANTENIMIENTO " dataDxfId="10"/>
    <tableColumn id="6" name="VALOR DE LA COMPRA" dataDxfId="9"/>
  </tableColumns>
  <tableStyleInfo name="TableStyleMedium20" showFirstColumn="0" showLastColumn="0" showRowStripes="1" showColumnStripes="0"/>
</table>
</file>

<file path=xl/tables/table2.xml><?xml version="1.0" encoding="utf-8"?>
<table xmlns="http://schemas.openxmlformats.org/spreadsheetml/2006/main" id="1" name="Tabla43" displayName="Tabla43" ref="A1:F8" totalsRowShown="0" headerRowDxfId="8" dataDxfId="7" tableBorderDxfId="6">
  <autoFilter ref="A1:F8"/>
  <tableColumns count="6">
    <tableColumn id="1" name="MES DEL GASTO" dataDxfId="5"/>
    <tableColumn id="2" name="PLACA DEL VEHICULO" dataDxfId="4"/>
    <tableColumn id="3" name="NUMERO COMPROBANTE DE COMPRA" dataDxfId="3"/>
    <tableColumn id="4" name="FECHA DEL COMPROBANTE" dataDxfId="2"/>
    <tableColumn id="5" name="TIPO DE MANTENIMIENTO " dataDxfId="1"/>
    <tableColumn id="6" name="VALOR DE LA COMPRA" dataDxfId="0" dataCellStyle="Moneda [0]"/>
  </tableColumns>
  <tableStyleInfo name="TableStyleMedium2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44"/>
  <sheetViews>
    <sheetView zoomScale="86" zoomScaleNormal="86" workbookViewId="0">
      <pane xSplit="3" topLeftCell="D1" activePane="topRight" state="frozen"/>
      <selection activeCell="A7" sqref="A7"/>
      <selection pane="topRight" activeCell="D16" sqref="D16"/>
    </sheetView>
  </sheetViews>
  <sheetFormatPr baseColWidth="10" defaultColWidth="11.42578125" defaultRowHeight="15"/>
  <cols>
    <col min="2" max="2" width="43.85546875" customWidth="1"/>
    <col min="3" max="3" width="59.28515625" customWidth="1"/>
    <col min="4" max="4" width="16.5703125" customWidth="1"/>
    <col min="5" max="5" width="11.140625" customWidth="1"/>
    <col min="6" max="6" width="12.42578125" customWidth="1"/>
    <col min="7" max="39" width="14.42578125" style="7" customWidth="1"/>
  </cols>
  <sheetData>
    <row r="1" spans="2:40">
      <c r="G1"/>
      <c r="H1"/>
      <c r="I1"/>
      <c r="J1"/>
      <c r="K1"/>
      <c r="L1"/>
      <c r="M1"/>
      <c r="N1"/>
      <c r="O1"/>
      <c r="P1"/>
      <c r="Q1"/>
      <c r="R1"/>
      <c r="S1"/>
      <c r="T1"/>
      <c r="U1"/>
      <c r="V1"/>
      <c r="W1"/>
      <c r="X1"/>
      <c r="Y1"/>
      <c r="Z1"/>
      <c r="AA1"/>
      <c r="AB1"/>
      <c r="AC1"/>
      <c r="AD1"/>
      <c r="AE1"/>
      <c r="AF1"/>
      <c r="AG1"/>
      <c r="AH1"/>
      <c r="AI1"/>
      <c r="AJ1"/>
      <c r="AK1"/>
      <c r="AL1"/>
      <c r="AM1"/>
    </row>
    <row r="2" spans="2:40">
      <c r="B2" s="188" t="s">
        <v>173</v>
      </c>
      <c r="C2" s="189"/>
      <c r="G2"/>
      <c r="H2"/>
      <c r="I2"/>
      <c r="J2"/>
      <c r="K2"/>
      <c r="L2"/>
      <c r="M2"/>
      <c r="N2"/>
      <c r="O2"/>
      <c r="P2"/>
      <c r="Q2"/>
      <c r="R2"/>
      <c r="S2"/>
      <c r="T2"/>
      <c r="U2"/>
      <c r="V2"/>
      <c r="W2"/>
      <c r="X2"/>
      <c r="Y2"/>
      <c r="Z2"/>
      <c r="AA2"/>
      <c r="AB2"/>
      <c r="AC2"/>
      <c r="AD2"/>
      <c r="AE2"/>
      <c r="AF2"/>
      <c r="AG2"/>
      <c r="AH2"/>
      <c r="AI2"/>
      <c r="AJ2"/>
      <c r="AK2"/>
      <c r="AL2"/>
      <c r="AM2"/>
    </row>
    <row r="3" spans="2:40">
      <c r="B3" s="190" t="s">
        <v>278</v>
      </c>
      <c r="C3" s="191"/>
    </row>
    <row r="4" spans="2:40">
      <c r="B4" s="193" t="s">
        <v>277</v>
      </c>
      <c r="C4" s="193"/>
      <c r="D4" s="193"/>
      <c r="E4" s="122"/>
      <c r="F4" s="123"/>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row>
    <row r="5" spans="2:40">
      <c r="B5" s="122"/>
      <c r="C5" s="122"/>
      <c r="D5" s="122"/>
      <c r="E5" s="122"/>
      <c r="F5" s="123"/>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row>
    <row r="6" spans="2:40">
      <c r="B6" s="194" t="s">
        <v>209</v>
      </c>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row>
    <row r="7" spans="2:40" ht="30">
      <c r="B7" s="109" t="s">
        <v>210</v>
      </c>
      <c r="C7" s="109" t="s">
        <v>211</v>
      </c>
      <c r="D7" s="109" t="s">
        <v>212</v>
      </c>
      <c r="E7" s="109" t="s">
        <v>213</v>
      </c>
      <c r="F7" s="109"/>
      <c r="G7" s="109" t="s">
        <v>214</v>
      </c>
      <c r="H7" s="109" t="s">
        <v>213</v>
      </c>
      <c r="I7" s="109"/>
      <c r="J7" s="109" t="s">
        <v>215</v>
      </c>
      <c r="K7" s="109" t="s">
        <v>213</v>
      </c>
      <c r="L7" s="109"/>
      <c r="M7" s="109" t="s">
        <v>216</v>
      </c>
      <c r="N7" s="109" t="s">
        <v>213</v>
      </c>
      <c r="O7" s="109"/>
      <c r="P7" s="109" t="s">
        <v>216</v>
      </c>
      <c r="Q7" s="109" t="s">
        <v>213</v>
      </c>
      <c r="R7" s="109"/>
      <c r="S7" s="109" t="s">
        <v>216</v>
      </c>
      <c r="T7" s="109" t="s">
        <v>213</v>
      </c>
      <c r="U7" s="109"/>
      <c r="V7" s="109" t="s">
        <v>216</v>
      </c>
      <c r="W7" s="109" t="s">
        <v>213</v>
      </c>
      <c r="X7" s="109"/>
      <c r="Y7" s="109" t="s">
        <v>216</v>
      </c>
      <c r="Z7" s="109" t="s">
        <v>213</v>
      </c>
      <c r="AA7" s="109"/>
      <c r="AB7" s="109" t="s">
        <v>216</v>
      </c>
      <c r="AC7" s="109" t="s">
        <v>213</v>
      </c>
      <c r="AD7" s="109"/>
      <c r="AE7" s="109" t="s">
        <v>216</v>
      </c>
      <c r="AF7" s="109" t="s">
        <v>213</v>
      </c>
      <c r="AG7" s="109"/>
      <c r="AH7" s="109" t="s">
        <v>216</v>
      </c>
      <c r="AI7" s="109" t="s">
        <v>213</v>
      </c>
      <c r="AJ7" s="109"/>
      <c r="AK7" s="109" t="s">
        <v>216</v>
      </c>
      <c r="AL7" s="109" t="s">
        <v>213</v>
      </c>
      <c r="AM7" s="109"/>
      <c r="AN7" s="109" t="s">
        <v>185</v>
      </c>
    </row>
    <row r="8" spans="2:40">
      <c r="B8" s="109"/>
      <c r="C8" s="109"/>
      <c r="D8" s="109"/>
      <c r="E8" s="109" t="s">
        <v>189</v>
      </c>
      <c r="F8" s="109" t="s">
        <v>190</v>
      </c>
      <c r="G8" s="109"/>
      <c r="H8" s="109" t="s">
        <v>189</v>
      </c>
      <c r="I8" s="109" t="s">
        <v>190</v>
      </c>
      <c r="J8" s="109"/>
      <c r="K8" s="109" t="s">
        <v>189</v>
      </c>
      <c r="L8" s="109" t="s">
        <v>190</v>
      </c>
      <c r="M8" s="109"/>
      <c r="N8" s="109" t="s">
        <v>189</v>
      </c>
      <c r="O8" s="109" t="s">
        <v>190</v>
      </c>
      <c r="P8" s="109"/>
      <c r="Q8" s="109" t="s">
        <v>189</v>
      </c>
      <c r="R8" s="109" t="s">
        <v>190</v>
      </c>
      <c r="S8" s="109"/>
      <c r="T8" s="109" t="s">
        <v>189</v>
      </c>
      <c r="U8" s="109" t="s">
        <v>190</v>
      </c>
      <c r="V8" s="109"/>
      <c r="W8" s="109" t="s">
        <v>189</v>
      </c>
      <c r="X8" s="109" t="s">
        <v>190</v>
      </c>
      <c r="Y8" s="109"/>
      <c r="Z8" s="109" t="s">
        <v>189</v>
      </c>
      <c r="AA8" s="109" t="s">
        <v>190</v>
      </c>
      <c r="AB8" s="109"/>
      <c r="AC8" s="109" t="s">
        <v>189</v>
      </c>
      <c r="AD8" s="109" t="s">
        <v>190</v>
      </c>
      <c r="AE8" s="109"/>
      <c r="AF8" s="109" t="s">
        <v>189</v>
      </c>
      <c r="AG8" s="109" t="s">
        <v>190</v>
      </c>
      <c r="AH8" s="109"/>
      <c r="AI8" s="109" t="s">
        <v>189</v>
      </c>
      <c r="AJ8" s="109" t="s">
        <v>190</v>
      </c>
      <c r="AK8" s="109"/>
      <c r="AL8" s="109" t="s">
        <v>189</v>
      </c>
      <c r="AM8" s="109" t="s">
        <v>190</v>
      </c>
      <c r="AN8" s="109"/>
    </row>
    <row r="9" spans="2:40">
      <c r="B9" s="124" t="s">
        <v>217</v>
      </c>
      <c r="C9" s="125" t="s">
        <v>218</v>
      </c>
      <c r="D9" s="156">
        <v>43831</v>
      </c>
      <c r="E9" s="126">
        <v>1</v>
      </c>
      <c r="F9" s="126"/>
      <c r="G9" s="127">
        <v>43862</v>
      </c>
      <c r="H9" s="53">
        <v>1</v>
      </c>
      <c r="I9" s="53"/>
      <c r="J9" s="53"/>
      <c r="K9" s="53"/>
      <c r="L9" s="53"/>
      <c r="M9" s="53"/>
      <c r="N9" s="53"/>
      <c r="O9" s="53"/>
      <c r="P9" s="53"/>
      <c r="Q9" s="53"/>
      <c r="R9" s="53"/>
      <c r="S9" s="127"/>
      <c r="T9" s="53"/>
      <c r="U9" s="53"/>
      <c r="V9" s="53"/>
      <c r="W9" s="53"/>
      <c r="X9" s="53"/>
      <c r="Y9" s="53"/>
      <c r="Z9" s="53"/>
      <c r="AA9" s="53"/>
      <c r="AB9" s="53"/>
      <c r="AC9" s="53"/>
      <c r="AD9" s="53"/>
      <c r="AE9" s="53"/>
      <c r="AF9" s="53"/>
      <c r="AG9" s="53"/>
      <c r="AH9" s="53"/>
      <c r="AI9" s="53"/>
      <c r="AJ9" s="53"/>
      <c r="AK9" s="53"/>
      <c r="AL9" s="53"/>
      <c r="AM9" s="53"/>
      <c r="AN9" s="153">
        <f>E9+F9+H9+I9+K9+L9+N9+O9+Q9+R9+T9+U9+W9+X9+Z9+AA9+AC9+AD9+AF9+AG9+AI9+AJ9+AL9+AM9</f>
        <v>2</v>
      </c>
    </row>
    <row r="10" spans="2:40">
      <c r="B10" s="124"/>
      <c r="C10" s="128"/>
      <c r="D10" s="126"/>
      <c r="E10" s="126"/>
      <c r="F10" s="126"/>
      <c r="G10" s="53"/>
      <c r="H10" s="53"/>
      <c r="I10" s="53"/>
      <c r="J10" s="53"/>
      <c r="K10" s="53"/>
      <c r="L10" s="53"/>
      <c r="M10" s="53"/>
      <c r="N10" s="53"/>
      <c r="O10" s="53"/>
      <c r="P10" s="53"/>
      <c r="Q10" s="53"/>
      <c r="R10" s="53"/>
      <c r="S10" s="127"/>
      <c r="T10" s="53"/>
      <c r="U10" s="53"/>
      <c r="V10" s="53"/>
      <c r="W10" s="53"/>
      <c r="X10" s="53"/>
      <c r="Y10" s="53"/>
      <c r="Z10" s="53"/>
      <c r="AA10" s="53"/>
      <c r="AB10" s="127"/>
      <c r="AC10" s="53"/>
      <c r="AD10" s="53"/>
      <c r="AE10" s="53"/>
      <c r="AF10" s="53"/>
      <c r="AG10" s="53"/>
      <c r="AH10" s="53"/>
      <c r="AI10" s="53"/>
      <c r="AJ10" s="53"/>
      <c r="AK10" s="53"/>
      <c r="AL10" s="53"/>
      <c r="AM10" s="53"/>
      <c r="AN10" s="153">
        <f t="shared" ref="AN10:AN42" si="0">E10+F10+H10+I10+K10+L10+N10+O10+Q10+R10+T10+U10+W10+X10+Z10+AA10+AC10+AD10+AF10+AG10+AI10+AJ10+AL10+AM10</f>
        <v>0</v>
      </c>
    </row>
    <row r="11" spans="2:40" ht="27.75" customHeight="1">
      <c r="B11" s="124" t="s">
        <v>219</v>
      </c>
      <c r="D11" s="51"/>
      <c r="E11" s="51"/>
      <c r="F11" s="51"/>
      <c r="G11" s="53"/>
      <c r="H11" s="53"/>
      <c r="I11" s="53"/>
      <c r="J11" s="53"/>
      <c r="K11" s="53"/>
      <c r="L11" s="53"/>
      <c r="M11" s="53"/>
      <c r="N11" s="53"/>
      <c r="O11" s="53"/>
      <c r="P11" s="53"/>
      <c r="Q11" s="53"/>
      <c r="R11" s="53"/>
      <c r="U11" s="53"/>
      <c r="V11" s="53"/>
      <c r="W11" s="53"/>
      <c r="X11" s="53"/>
      <c r="Y11" s="53"/>
      <c r="Z11" s="53"/>
      <c r="AA11" s="53"/>
      <c r="AB11" s="53"/>
      <c r="AC11" s="53"/>
      <c r="AD11" s="53"/>
      <c r="AE11" s="53"/>
      <c r="AF11" s="53"/>
      <c r="AG11" s="53"/>
      <c r="AH11" s="53"/>
      <c r="AI11" s="53"/>
      <c r="AJ11" s="53"/>
      <c r="AK11" s="53"/>
      <c r="AL11" s="53"/>
      <c r="AM11" s="53"/>
      <c r="AN11" s="153">
        <f t="shared" si="0"/>
        <v>0</v>
      </c>
    </row>
    <row r="12" spans="2:40" ht="27.75" customHeight="1">
      <c r="B12" s="129" t="s">
        <v>220</v>
      </c>
      <c r="C12" s="130" t="s">
        <v>221</v>
      </c>
      <c r="D12" s="51"/>
      <c r="E12" s="51"/>
      <c r="F12" s="51"/>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153">
        <f t="shared" si="0"/>
        <v>0</v>
      </c>
    </row>
    <row r="13" spans="2:40">
      <c r="B13" s="131" t="s">
        <v>222</v>
      </c>
      <c r="C13" s="132"/>
      <c r="D13" s="51"/>
      <c r="E13" s="51"/>
      <c r="F13" s="51"/>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153">
        <f t="shared" si="0"/>
        <v>0</v>
      </c>
    </row>
    <row r="14" spans="2:40">
      <c r="B14" s="133" t="s">
        <v>223</v>
      </c>
      <c r="C14" s="134" t="s">
        <v>224</v>
      </c>
      <c r="D14" s="135"/>
      <c r="E14" s="51"/>
      <c r="F14" s="51"/>
      <c r="G14" s="127">
        <v>43862</v>
      </c>
      <c r="H14" s="53">
        <v>18</v>
      </c>
      <c r="I14" s="53">
        <v>18</v>
      </c>
      <c r="J14" s="127">
        <v>43891</v>
      </c>
      <c r="K14" s="67">
        <v>18</v>
      </c>
      <c r="L14" s="67">
        <v>18</v>
      </c>
      <c r="M14" s="127"/>
      <c r="N14" s="53"/>
      <c r="O14" s="53"/>
      <c r="P14" s="127"/>
      <c r="Q14" s="53"/>
      <c r="R14" s="53"/>
      <c r="S14" s="53"/>
      <c r="T14" s="53"/>
      <c r="U14" s="53"/>
      <c r="V14" s="127"/>
      <c r="W14" s="53"/>
      <c r="X14" s="53"/>
      <c r="Y14" s="127"/>
      <c r="Z14" s="53"/>
      <c r="AA14" s="53"/>
      <c r="AB14" s="127"/>
      <c r="AC14" s="53"/>
      <c r="AD14" s="53"/>
      <c r="AE14" s="136"/>
      <c r="AG14" s="53"/>
      <c r="AH14" s="127"/>
      <c r="AI14" s="53"/>
      <c r="AJ14" s="53"/>
      <c r="AK14" s="127"/>
      <c r="AL14" s="53"/>
      <c r="AM14" s="53"/>
      <c r="AN14" s="153">
        <f t="shared" si="0"/>
        <v>72</v>
      </c>
    </row>
    <row r="15" spans="2:40">
      <c r="B15" s="133" t="s">
        <v>225</v>
      </c>
      <c r="C15" s="134" t="s">
        <v>226</v>
      </c>
      <c r="D15" s="135"/>
      <c r="E15" s="51"/>
      <c r="F15" s="51"/>
      <c r="G15" s="53"/>
      <c r="H15" s="53"/>
      <c r="I15" s="53"/>
      <c r="J15" s="53"/>
      <c r="K15" s="67"/>
      <c r="L15" s="67"/>
      <c r="M15" s="127"/>
      <c r="N15" s="53"/>
      <c r="O15" s="53"/>
      <c r="P15" s="53"/>
      <c r="Q15" s="53"/>
      <c r="R15" s="53"/>
      <c r="S15" s="127"/>
      <c r="T15" s="53"/>
      <c r="U15" s="53"/>
      <c r="V15" s="127"/>
      <c r="W15" s="53"/>
      <c r="X15" s="53"/>
      <c r="Y15" s="127"/>
      <c r="Z15" s="53"/>
      <c r="AA15" s="53"/>
      <c r="AB15" s="127"/>
      <c r="AC15" s="53"/>
      <c r="AD15" s="53"/>
      <c r="AE15" s="127"/>
      <c r="AF15" s="53"/>
      <c r="AG15" s="53"/>
      <c r="AH15" s="127"/>
      <c r="AI15" s="53"/>
      <c r="AJ15" s="53"/>
      <c r="AK15" s="127"/>
      <c r="AL15" s="53"/>
      <c r="AM15" s="53"/>
      <c r="AN15" s="153">
        <f t="shared" si="0"/>
        <v>0</v>
      </c>
    </row>
    <row r="16" spans="2:40">
      <c r="B16" s="131" t="s">
        <v>227</v>
      </c>
      <c r="C16" s="137"/>
      <c r="D16" s="51"/>
      <c r="E16" s="51"/>
      <c r="F16" s="51"/>
      <c r="G16" s="53"/>
      <c r="H16" s="53"/>
      <c r="I16" s="53"/>
      <c r="J16" s="127"/>
      <c r="K16" s="67"/>
      <c r="L16" s="67"/>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153">
        <f t="shared" si="0"/>
        <v>0</v>
      </c>
    </row>
    <row r="17" spans="2:40">
      <c r="B17" s="133" t="s">
        <v>228</v>
      </c>
      <c r="C17" s="138" t="s">
        <v>229</v>
      </c>
      <c r="D17" s="135"/>
      <c r="E17" s="51"/>
      <c r="F17" s="51"/>
      <c r="G17" s="127"/>
      <c r="H17" s="53"/>
      <c r="I17" s="53"/>
      <c r="J17" s="127">
        <v>43891</v>
      </c>
      <c r="K17" s="67">
        <v>10</v>
      </c>
      <c r="L17" s="67"/>
      <c r="M17" s="53"/>
      <c r="N17" s="53"/>
      <c r="O17" s="53"/>
      <c r="P17" s="127"/>
      <c r="Q17" s="53"/>
      <c r="R17" s="53"/>
      <c r="S17" s="127"/>
      <c r="T17" s="53"/>
      <c r="U17" s="53"/>
      <c r="V17" s="127"/>
      <c r="W17" s="53"/>
      <c r="X17" s="53"/>
      <c r="Y17" s="127"/>
      <c r="Z17" s="53"/>
      <c r="AA17" s="53"/>
      <c r="AB17" s="127"/>
      <c r="AC17" s="53"/>
      <c r="AD17" s="53"/>
      <c r="AE17" s="127"/>
      <c r="AF17" s="53"/>
      <c r="AG17" s="53"/>
      <c r="AH17" s="127"/>
      <c r="AI17" s="53"/>
      <c r="AJ17" s="53"/>
      <c r="AK17" s="127"/>
      <c r="AL17" s="53"/>
      <c r="AM17" s="53"/>
      <c r="AN17" s="153">
        <f t="shared" si="0"/>
        <v>10</v>
      </c>
    </row>
    <row r="18" spans="2:40">
      <c r="B18" s="133"/>
      <c r="C18" s="138"/>
      <c r="D18" s="135"/>
      <c r="E18" s="51"/>
      <c r="F18" s="51"/>
      <c r="G18" s="127"/>
      <c r="H18" s="53"/>
      <c r="I18" s="53"/>
      <c r="K18" s="67"/>
      <c r="L18" s="67"/>
      <c r="M18" s="53"/>
      <c r="N18" s="53"/>
      <c r="O18" s="53"/>
      <c r="P18" s="127"/>
      <c r="Q18" s="53"/>
      <c r="R18" s="53"/>
      <c r="S18" s="127"/>
      <c r="T18" s="53"/>
      <c r="U18" s="53"/>
      <c r="V18" s="127"/>
      <c r="W18" s="53"/>
      <c r="X18" s="53"/>
      <c r="Y18" s="127"/>
      <c r="Z18" s="53"/>
      <c r="AA18" s="53"/>
      <c r="AB18" s="127"/>
      <c r="AC18" s="53"/>
      <c r="AD18" s="53"/>
      <c r="AE18" s="127"/>
      <c r="AF18" s="53"/>
      <c r="AG18" s="53"/>
      <c r="AH18" s="127"/>
      <c r="AI18" s="53"/>
      <c r="AJ18" s="53"/>
      <c r="AK18" s="127"/>
      <c r="AL18" s="53"/>
      <c r="AM18" s="53"/>
      <c r="AN18" s="153">
        <f t="shared" si="0"/>
        <v>0</v>
      </c>
    </row>
    <row r="19" spans="2:40">
      <c r="B19" s="133"/>
      <c r="C19" s="138" t="s">
        <v>230</v>
      </c>
      <c r="D19" s="135"/>
      <c r="E19" s="51"/>
      <c r="F19" s="51"/>
      <c r="G19" s="127">
        <v>43862</v>
      </c>
      <c r="H19" s="53">
        <v>10</v>
      </c>
      <c r="I19" s="53"/>
      <c r="J19" s="127"/>
      <c r="K19" s="67"/>
      <c r="L19" s="67"/>
      <c r="M19" s="53"/>
      <c r="N19" s="53"/>
      <c r="O19" s="53"/>
      <c r="P19" s="127">
        <v>43952</v>
      </c>
      <c r="Q19" s="53">
        <v>6</v>
      </c>
      <c r="R19" s="53"/>
      <c r="S19" s="127"/>
      <c r="T19" s="53"/>
      <c r="U19" s="53"/>
      <c r="V19" s="127"/>
      <c r="W19" s="53"/>
      <c r="X19" s="53"/>
      <c r="Y19" s="127"/>
      <c r="Z19" s="53"/>
      <c r="AA19" s="53"/>
      <c r="AB19" s="127"/>
      <c r="AC19" s="53"/>
      <c r="AD19" s="53"/>
      <c r="AE19" s="127"/>
      <c r="AF19" s="53"/>
      <c r="AG19" s="53"/>
      <c r="AH19" s="127"/>
      <c r="AI19" s="53"/>
      <c r="AJ19" s="53"/>
      <c r="AK19" s="127"/>
      <c r="AL19" s="53"/>
      <c r="AM19" s="53"/>
      <c r="AN19" s="153">
        <f t="shared" si="0"/>
        <v>16</v>
      </c>
    </row>
    <row r="20" spans="2:40">
      <c r="B20" s="133"/>
      <c r="C20" s="138" t="s">
        <v>231</v>
      </c>
      <c r="D20" s="135"/>
      <c r="E20" s="51"/>
      <c r="F20" s="51"/>
      <c r="G20" s="127"/>
      <c r="H20" s="53"/>
      <c r="I20" s="53"/>
      <c r="J20" s="127"/>
      <c r="K20" s="67"/>
      <c r="L20" s="67"/>
      <c r="M20" s="53"/>
      <c r="N20" s="53"/>
      <c r="O20" s="53"/>
      <c r="P20" s="127"/>
      <c r="Q20" s="53"/>
      <c r="R20" s="53"/>
      <c r="S20" s="127"/>
      <c r="T20" s="53"/>
      <c r="U20" s="53"/>
      <c r="V20" s="127"/>
      <c r="W20" s="53"/>
      <c r="X20" s="53"/>
      <c r="Y20" s="127"/>
      <c r="Z20" s="53"/>
      <c r="AA20" s="53"/>
      <c r="AB20" s="127"/>
      <c r="AC20" s="53"/>
      <c r="AD20" s="53"/>
      <c r="AE20" s="127"/>
      <c r="AF20" s="53"/>
      <c r="AG20" s="53"/>
      <c r="AH20" s="127"/>
      <c r="AI20" s="53"/>
      <c r="AJ20" s="53"/>
      <c r="AK20" s="127"/>
      <c r="AL20" s="53"/>
      <c r="AM20" s="53"/>
      <c r="AN20" s="153">
        <f t="shared" si="0"/>
        <v>0</v>
      </c>
    </row>
    <row r="21" spans="2:40">
      <c r="B21" s="133"/>
      <c r="C21" s="138" t="s">
        <v>232</v>
      </c>
      <c r="D21" s="155">
        <v>43831</v>
      </c>
      <c r="E21" s="51">
        <v>2</v>
      </c>
      <c r="F21" s="51">
        <v>2</v>
      </c>
      <c r="G21" s="127"/>
      <c r="H21" s="53"/>
      <c r="I21" s="53"/>
      <c r="J21" s="127"/>
      <c r="K21" s="67"/>
      <c r="L21" s="67"/>
      <c r="M21" s="53"/>
      <c r="N21" s="53"/>
      <c r="O21" s="53"/>
      <c r="P21" s="127"/>
      <c r="Q21" s="53"/>
      <c r="R21" s="53"/>
      <c r="S21" s="127"/>
      <c r="T21" s="53"/>
      <c r="U21" s="53"/>
      <c r="V21" s="127"/>
      <c r="W21" s="53"/>
      <c r="X21" s="53"/>
      <c r="Y21" s="127"/>
      <c r="Z21" s="53"/>
      <c r="AA21" s="53"/>
      <c r="AB21" s="127"/>
      <c r="AC21" s="53"/>
      <c r="AD21" s="53"/>
      <c r="AE21" s="127"/>
      <c r="AF21" s="53"/>
      <c r="AG21" s="53"/>
      <c r="AH21" s="127"/>
      <c r="AI21" s="53"/>
      <c r="AJ21" s="53"/>
      <c r="AK21" s="127"/>
      <c r="AL21" s="53"/>
      <c r="AM21" s="53"/>
      <c r="AN21" s="153">
        <f t="shared" si="0"/>
        <v>4</v>
      </c>
    </row>
    <row r="22" spans="2:40">
      <c r="B22" s="133"/>
      <c r="C22" s="138" t="s">
        <v>233</v>
      </c>
      <c r="D22" s="135"/>
      <c r="E22" s="51"/>
      <c r="F22" s="51"/>
      <c r="G22" s="127">
        <v>43862</v>
      </c>
      <c r="H22" s="53"/>
      <c r="I22" s="53">
        <v>1</v>
      </c>
      <c r="J22" s="127"/>
      <c r="K22" s="67"/>
      <c r="L22" s="67"/>
      <c r="M22" s="53"/>
      <c r="N22" s="53"/>
      <c r="O22" s="53"/>
      <c r="P22" s="127"/>
      <c r="Q22" s="53"/>
      <c r="R22" s="53"/>
      <c r="S22" s="127"/>
      <c r="T22" s="53"/>
      <c r="U22" s="53"/>
      <c r="V22" s="127"/>
      <c r="W22" s="53"/>
      <c r="X22" s="53"/>
      <c r="Y22" s="127"/>
      <c r="Z22" s="53"/>
      <c r="AA22" s="53"/>
      <c r="AB22" s="127"/>
      <c r="AC22" s="53"/>
      <c r="AD22" s="53"/>
      <c r="AE22" s="127"/>
      <c r="AF22" s="53"/>
      <c r="AG22" s="53"/>
      <c r="AH22" s="127"/>
      <c r="AI22" s="53"/>
      <c r="AJ22" s="53"/>
      <c r="AK22" s="127"/>
      <c r="AL22" s="53"/>
      <c r="AM22" s="53"/>
      <c r="AN22" s="153">
        <f t="shared" si="0"/>
        <v>1</v>
      </c>
    </row>
    <row r="23" spans="2:40">
      <c r="B23" s="133"/>
      <c r="C23" s="138" t="s">
        <v>234</v>
      </c>
      <c r="D23" s="135"/>
      <c r="E23" s="51"/>
      <c r="F23" s="51"/>
      <c r="G23" s="51"/>
      <c r="H23" s="51"/>
      <c r="I23" s="51"/>
      <c r="J23" s="51"/>
      <c r="K23" s="51"/>
      <c r="L23" s="51"/>
      <c r="M23" s="53"/>
      <c r="N23" s="53"/>
      <c r="O23" s="53"/>
      <c r="P23" s="127"/>
      <c r="Q23" s="53"/>
      <c r="R23" s="53"/>
      <c r="V23" s="127"/>
      <c r="W23" s="53"/>
      <c r="X23" s="53"/>
      <c r="Y23" s="127"/>
      <c r="Z23" s="53"/>
      <c r="AA23" s="53"/>
      <c r="AB23" s="127"/>
      <c r="AC23" s="53"/>
      <c r="AD23" s="53"/>
      <c r="AE23" s="127"/>
      <c r="AF23" s="53"/>
      <c r="AG23" s="53"/>
      <c r="AH23" s="127"/>
      <c r="AI23" s="53"/>
      <c r="AJ23" s="53"/>
      <c r="AK23" s="127"/>
      <c r="AL23" s="53"/>
      <c r="AM23" s="53"/>
      <c r="AN23" s="153">
        <f t="shared" si="0"/>
        <v>0</v>
      </c>
    </row>
    <row r="24" spans="2:40">
      <c r="B24" s="133"/>
      <c r="C24" s="138" t="s">
        <v>203</v>
      </c>
      <c r="D24" s="135"/>
      <c r="E24" s="51"/>
      <c r="F24" s="51"/>
      <c r="G24" s="127">
        <v>43862</v>
      </c>
      <c r="H24" s="53">
        <v>20</v>
      </c>
      <c r="I24" s="53">
        <v>40</v>
      </c>
      <c r="J24" s="127"/>
      <c r="K24" s="67"/>
      <c r="L24" s="67"/>
      <c r="M24" s="127"/>
      <c r="N24" s="53"/>
      <c r="O24" s="53"/>
      <c r="P24" s="127"/>
      <c r="Q24" s="53"/>
      <c r="R24" s="53"/>
      <c r="S24" s="127"/>
      <c r="T24" s="53"/>
      <c r="U24" s="53"/>
      <c r="V24" s="127"/>
      <c r="W24" s="53"/>
      <c r="X24" s="53"/>
      <c r="Y24" s="127"/>
      <c r="Z24" s="53"/>
      <c r="AA24" s="53"/>
      <c r="AB24" s="127"/>
      <c r="AC24" s="53"/>
      <c r="AD24" s="53"/>
      <c r="AE24" s="127"/>
      <c r="AF24" s="53"/>
      <c r="AG24" s="53"/>
      <c r="AH24" s="127"/>
      <c r="AI24" s="53"/>
      <c r="AJ24" s="53"/>
      <c r="AK24" s="127"/>
      <c r="AL24" s="53"/>
      <c r="AM24" s="53"/>
      <c r="AN24" s="153">
        <f t="shared" si="0"/>
        <v>60</v>
      </c>
    </row>
    <row r="25" spans="2:40">
      <c r="B25" s="133"/>
      <c r="C25" s="138" t="s">
        <v>235</v>
      </c>
      <c r="D25" s="155">
        <v>43831</v>
      </c>
      <c r="E25" s="134">
        <v>25</v>
      </c>
      <c r="F25" s="51"/>
      <c r="G25" s="127">
        <v>43862</v>
      </c>
      <c r="H25" s="53">
        <v>5</v>
      </c>
      <c r="I25" s="53"/>
      <c r="J25" s="127"/>
      <c r="K25" s="67"/>
      <c r="L25" s="67"/>
      <c r="M25" s="53"/>
      <c r="N25" s="53"/>
      <c r="O25" s="53"/>
      <c r="P25" s="127"/>
      <c r="Q25" s="53"/>
      <c r="R25" s="53"/>
      <c r="S25" s="127"/>
      <c r="T25" s="53"/>
      <c r="U25" s="53"/>
      <c r="V25" s="127"/>
      <c r="W25" s="53"/>
      <c r="X25" s="53"/>
      <c r="Y25" s="127"/>
      <c r="Z25" s="53"/>
      <c r="AA25" s="53"/>
      <c r="AB25" s="127"/>
      <c r="AC25" s="53"/>
      <c r="AD25" s="53"/>
      <c r="AE25" s="127"/>
      <c r="AF25" s="53"/>
      <c r="AG25" s="53"/>
      <c r="AH25" s="127"/>
      <c r="AI25" s="53"/>
      <c r="AJ25" s="53"/>
      <c r="AK25" s="127"/>
      <c r="AL25" s="53"/>
      <c r="AM25" s="53"/>
      <c r="AN25" s="153">
        <f t="shared" si="0"/>
        <v>30</v>
      </c>
    </row>
    <row r="26" spans="2:40">
      <c r="B26" s="133"/>
      <c r="C26" s="138" t="s">
        <v>236</v>
      </c>
      <c r="D26" s="135"/>
      <c r="E26" s="51"/>
      <c r="F26" s="51"/>
      <c r="G26" s="127">
        <v>43862</v>
      </c>
      <c r="H26" s="53">
        <v>2</v>
      </c>
      <c r="I26" s="53"/>
      <c r="J26" s="127">
        <v>43891</v>
      </c>
      <c r="K26" s="67">
        <v>4</v>
      </c>
      <c r="L26" s="67"/>
      <c r="M26" s="53"/>
      <c r="N26" s="53"/>
      <c r="O26" s="53"/>
      <c r="P26" s="127"/>
      <c r="Q26" s="53"/>
      <c r="R26" s="53"/>
      <c r="S26" s="127"/>
      <c r="T26" s="53"/>
      <c r="U26" s="53"/>
      <c r="V26" s="127"/>
      <c r="W26" s="53"/>
      <c r="X26" s="53"/>
      <c r="Y26" s="127"/>
      <c r="Z26" s="53"/>
      <c r="AA26" s="53"/>
      <c r="AB26" s="127"/>
      <c r="AC26" s="53"/>
      <c r="AD26" s="53"/>
      <c r="AE26" s="127"/>
      <c r="AF26" s="53"/>
      <c r="AG26" s="53"/>
      <c r="AH26" s="127"/>
      <c r="AI26" s="53"/>
      <c r="AJ26" s="53"/>
      <c r="AK26" s="127"/>
      <c r="AL26" s="53"/>
      <c r="AM26" s="53"/>
      <c r="AN26" s="153">
        <f t="shared" si="0"/>
        <v>6</v>
      </c>
    </row>
    <row r="27" spans="2:40">
      <c r="B27" s="133"/>
      <c r="C27" s="138" t="s">
        <v>270</v>
      </c>
      <c r="D27" s="135"/>
      <c r="E27" s="51"/>
      <c r="F27" s="51"/>
      <c r="G27" s="127"/>
      <c r="H27" s="53"/>
      <c r="I27" s="53"/>
      <c r="J27" s="127">
        <v>43891</v>
      </c>
      <c r="K27" s="67">
        <v>4</v>
      </c>
      <c r="L27" s="67">
        <v>2</v>
      </c>
      <c r="M27" s="53"/>
      <c r="N27" s="53"/>
      <c r="O27" s="53"/>
      <c r="P27" s="127"/>
      <c r="Q27" s="53"/>
      <c r="R27" s="53"/>
      <c r="S27" s="127"/>
      <c r="T27" s="53"/>
      <c r="U27" s="53"/>
      <c r="V27" s="127"/>
      <c r="W27" s="53"/>
      <c r="X27" s="53"/>
      <c r="Y27" s="127"/>
      <c r="Z27" s="53"/>
      <c r="AA27" s="53"/>
      <c r="AB27" s="127"/>
      <c r="AC27" s="53"/>
      <c r="AD27" s="53"/>
      <c r="AE27" s="127"/>
      <c r="AF27" s="53"/>
      <c r="AG27" s="53"/>
      <c r="AH27" s="127"/>
      <c r="AI27" s="53"/>
      <c r="AJ27" s="53"/>
      <c r="AK27" s="127"/>
      <c r="AL27" s="53"/>
      <c r="AM27" s="53"/>
      <c r="AN27" s="153">
        <f t="shared" si="0"/>
        <v>6</v>
      </c>
    </row>
    <row r="28" spans="2:40" ht="17.25" customHeight="1">
      <c r="B28" s="133" t="s">
        <v>237</v>
      </c>
      <c r="C28" s="56" t="s">
        <v>238</v>
      </c>
      <c r="D28" s="135"/>
      <c r="E28" s="51"/>
      <c r="F28" s="51"/>
      <c r="G28" s="127">
        <v>43862</v>
      </c>
      <c r="H28" s="53">
        <v>2</v>
      </c>
      <c r="I28" s="53"/>
      <c r="J28" s="53"/>
      <c r="K28" s="67"/>
      <c r="L28" s="67"/>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153">
        <f t="shared" si="0"/>
        <v>2</v>
      </c>
    </row>
    <row r="29" spans="2:40" ht="21.75" customHeight="1">
      <c r="B29" s="133" t="s">
        <v>239</v>
      </c>
      <c r="C29" s="56" t="s">
        <v>240</v>
      </c>
      <c r="D29" s="135"/>
      <c r="E29" s="51"/>
      <c r="F29" s="51"/>
      <c r="G29" s="127"/>
      <c r="H29" s="53"/>
      <c r="I29" s="53"/>
      <c r="J29" s="127"/>
      <c r="K29" s="67"/>
      <c r="L29" s="67"/>
      <c r="M29" s="127"/>
      <c r="N29" s="53"/>
      <c r="O29" s="53"/>
      <c r="P29" s="127"/>
      <c r="Q29" s="53"/>
      <c r="R29" s="53"/>
      <c r="S29" s="127"/>
      <c r="T29" s="53"/>
      <c r="U29" s="53"/>
      <c r="V29" s="127"/>
      <c r="W29" s="53"/>
      <c r="X29" s="53"/>
      <c r="Y29" s="127"/>
      <c r="Z29" s="53"/>
      <c r="AA29" s="53"/>
      <c r="AB29" s="127"/>
      <c r="AC29" s="53"/>
      <c r="AD29" s="53"/>
      <c r="AE29" s="127"/>
      <c r="AF29" s="53"/>
      <c r="AG29" s="53"/>
      <c r="AH29" s="127"/>
      <c r="AI29" s="53"/>
      <c r="AJ29" s="53"/>
      <c r="AK29" s="127"/>
      <c r="AL29" s="53"/>
      <c r="AM29" s="53"/>
      <c r="AN29" s="153">
        <f t="shared" si="0"/>
        <v>0</v>
      </c>
    </row>
    <row r="30" spans="2:40" ht="21.75" customHeight="1">
      <c r="B30" s="133"/>
      <c r="C30" s="56" t="s">
        <v>241</v>
      </c>
      <c r="D30" s="135"/>
      <c r="E30" s="51"/>
      <c r="F30" s="51"/>
      <c r="G30" s="127">
        <v>43862</v>
      </c>
      <c r="H30" s="53">
        <v>3</v>
      </c>
      <c r="I30" s="53"/>
      <c r="J30" s="53"/>
      <c r="K30" s="67"/>
      <c r="L30" s="67"/>
      <c r="M30" s="53"/>
      <c r="N30" s="53"/>
      <c r="O30" s="53"/>
      <c r="P30" s="127"/>
      <c r="Q30" s="53"/>
      <c r="R30" s="53"/>
      <c r="S30" s="127"/>
      <c r="T30" s="53"/>
      <c r="U30" s="53"/>
      <c r="V30" s="53"/>
      <c r="W30" s="53"/>
      <c r="X30" s="53"/>
      <c r="Y30" s="127"/>
      <c r="Z30" s="53"/>
      <c r="AA30" s="53"/>
      <c r="AB30" s="127"/>
      <c r="AC30" s="53"/>
      <c r="AD30" s="53"/>
      <c r="AE30" s="127"/>
      <c r="AF30" s="53"/>
      <c r="AG30" s="53"/>
      <c r="AH30" s="53"/>
      <c r="AI30" s="53"/>
      <c r="AJ30" s="53"/>
      <c r="AK30" s="53"/>
      <c r="AL30" s="53"/>
      <c r="AM30" s="53"/>
      <c r="AN30" s="153">
        <f t="shared" si="0"/>
        <v>3</v>
      </c>
    </row>
    <row r="31" spans="2:40">
      <c r="B31" s="131" t="s">
        <v>242</v>
      </c>
      <c r="C31" s="51"/>
      <c r="D31" s="51"/>
      <c r="E31" s="51"/>
      <c r="F31" s="51"/>
      <c r="G31" s="53"/>
      <c r="H31" s="53"/>
      <c r="I31" s="53"/>
      <c r="J31" s="53"/>
      <c r="K31" s="67"/>
      <c r="L31" s="67"/>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153">
        <f t="shared" si="0"/>
        <v>0</v>
      </c>
    </row>
    <row r="32" spans="2:40" ht="18" customHeight="1">
      <c r="B32" s="133" t="s">
        <v>243</v>
      </c>
      <c r="C32" s="56" t="s">
        <v>244</v>
      </c>
      <c r="D32" s="135"/>
      <c r="E32" s="51"/>
      <c r="F32" s="51"/>
      <c r="G32" s="127"/>
      <c r="H32" s="53"/>
      <c r="I32" s="53"/>
      <c r="J32" s="127"/>
      <c r="K32" s="67"/>
      <c r="L32" s="67"/>
      <c r="M32" s="127"/>
      <c r="N32" s="53"/>
      <c r="O32" s="53"/>
      <c r="P32" s="127">
        <v>43952</v>
      </c>
      <c r="Q32" s="53">
        <v>13</v>
      </c>
      <c r="R32" s="53">
        <v>10</v>
      </c>
      <c r="S32" s="127"/>
      <c r="T32" s="53"/>
      <c r="U32" s="53"/>
      <c r="V32" s="127"/>
      <c r="W32" s="53"/>
      <c r="X32" s="53"/>
      <c r="Y32" s="127"/>
      <c r="Z32" s="53"/>
      <c r="AA32" s="53"/>
      <c r="AB32" s="127"/>
      <c r="AC32" s="53"/>
      <c r="AD32" s="53"/>
      <c r="AE32" s="127"/>
      <c r="AF32" s="53"/>
      <c r="AG32" s="53"/>
      <c r="AH32" s="127"/>
      <c r="AI32" s="53"/>
      <c r="AJ32" s="53"/>
      <c r="AK32" s="127"/>
      <c r="AL32" s="53"/>
      <c r="AM32" s="53"/>
      <c r="AN32" s="153">
        <f t="shared" si="0"/>
        <v>23</v>
      </c>
    </row>
    <row r="33" spans="2:40" ht="18" customHeight="1">
      <c r="B33" s="133"/>
      <c r="C33" s="56" t="s">
        <v>245</v>
      </c>
      <c r="D33" s="135">
        <v>43831</v>
      </c>
      <c r="E33" s="51">
        <f>1+2</f>
        <v>3</v>
      </c>
      <c r="F33" s="51"/>
      <c r="G33" s="127">
        <v>43862</v>
      </c>
      <c r="H33" s="53">
        <v>34</v>
      </c>
      <c r="I33" s="53">
        <v>1</v>
      </c>
      <c r="J33" s="127"/>
      <c r="K33" s="67"/>
      <c r="L33" s="67"/>
      <c r="M33" s="127"/>
      <c r="N33" s="53"/>
      <c r="O33" s="53"/>
      <c r="P33" s="127"/>
      <c r="Q33" s="53"/>
      <c r="R33" s="53"/>
      <c r="S33" s="139"/>
      <c r="T33" s="53"/>
      <c r="U33" s="53"/>
      <c r="V33" s="127"/>
      <c r="W33" s="53"/>
      <c r="X33" s="53"/>
      <c r="Y33" s="127"/>
      <c r="Z33" s="53"/>
      <c r="AA33" s="53"/>
      <c r="AB33" s="127"/>
      <c r="AC33" s="53"/>
      <c r="AD33" s="53"/>
      <c r="AE33" s="127"/>
      <c r="AF33" s="53"/>
      <c r="AG33" s="53"/>
      <c r="AH33" s="127"/>
      <c r="AI33" s="53"/>
      <c r="AJ33" s="53"/>
      <c r="AK33" s="127"/>
      <c r="AL33" s="53"/>
      <c r="AM33" s="53"/>
      <c r="AN33" s="153">
        <f t="shared" si="0"/>
        <v>38</v>
      </c>
    </row>
    <row r="34" spans="2:40" ht="18" customHeight="1">
      <c r="B34" s="133"/>
      <c r="C34" s="56"/>
      <c r="D34" s="135"/>
      <c r="E34" s="51"/>
      <c r="F34" s="51"/>
      <c r="G34" s="127"/>
      <c r="H34" s="53"/>
      <c r="I34" s="53"/>
      <c r="J34" s="127"/>
      <c r="K34" s="67"/>
      <c r="L34" s="67"/>
      <c r="M34" s="127"/>
      <c r="N34" s="53"/>
      <c r="O34" s="53"/>
      <c r="P34" s="127"/>
      <c r="Q34" s="53"/>
      <c r="R34" s="53"/>
      <c r="S34" s="139"/>
      <c r="T34" s="53"/>
      <c r="U34" s="53"/>
      <c r="V34" s="127"/>
      <c r="W34" s="53"/>
      <c r="X34" s="53"/>
      <c r="Y34" s="127"/>
      <c r="Z34" s="53"/>
      <c r="AA34" s="53"/>
      <c r="AB34" s="127"/>
      <c r="AC34" s="53"/>
      <c r="AD34" s="53"/>
      <c r="AE34" s="127"/>
      <c r="AF34" s="53"/>
      <c r="AG34" s="53"/>
      <c r="AH34" s="127"/>
      <c r="AI34" s="53"/>
      <c r="AJ34" s="53"/>
      <c r="AK34" s="127"/>
      <c r="AL34" s="53"/>
      <c r="AM34" s="53"/>
      <c r="AN34" s="153">
        <f t="shared" si="0"/>
        <v>0</v>
      </c>
    </row>
    <row r="35" spans="2:40" ht="18" customHeight="1">
      <c r="B35" s="133"/>
      <c r="C35" s="56"/>
      <c r="D35" s="135"/>
      <c r="E35" s="51"/>
      <c r="F35" s="51"/>
      <c r="G35" s="127"/>
      <c r="H35" s="53"/>
      <c r="I35" s="53"/>
      <c r="J35" s="127"/>
      <c r="K35" s="67"/>
      <c r="L35" s="67"/>
      <c r="M35" s="127"/>
      <c r="N35" s="53"/>
      <c r="O35" s="53"/>
      <c r="P35" s="127"/>
      <c r="Q35" s="53"/>
      <c r="R35" s="53"/>
      <c r="S35" s="139"/>
      <c r="T35" s="53"/>
      <c r="U35" s="53"/>
      <c r="V35" s="127"/>
      <c r="W35" s="53"/>
      <c r="X35" s="53"/>
      <c r="Y35" s="127"/>
      <c r="Z35" s="53"/>
      <c r="AA35" s="53"/>
      <c r="AB35" s="127"/>
      <c r="AC35" s="53"/>
      <c r="AD35" s="53"/>
      <c r="AE35" s="127"/>
      <c r="AF35" s="53"/>
      <c r="AG35" s="53"/>
      <c r="AH35" s="127"/>
      <c r="AI35" s="53"/>
      <c r="AJ35" s="53"/>
      <c r="AK35" s="127"/>
      <c r="AL35" s="53"/>
      <c r="AM35" s="53"/>
      <c r="AN35" s="153">
        <f t="shared" si="0"/>
        <v>0</v>
      </c>
    </row>
    <row r="36" spans="2:40" ht="18" customHeight="1">
      <c r="B36" s="133"/>
      <c r="C36" s="56"/>
      <c r="D36" s="135"/>
      <c r="E36" s="51"/>
      <c r="F36" s="51"/>
      <c r="G36" s="127"/>
      <c r="H36" s="53"/>
      <c r="I36" s="53"/>
      <c r="J36" s="127"/>
      <c r="K36" s="67"/>
      <c r="L36" s="67"/>
      <c r="M36" s="127"/>
      <c r="N36" s="53"/>
      <c r="O36" s="53"/>
      <c r="P36" s="127"/>
      <c r="Q36" s="53"/>
      <c r="R36" s="53"/>
      <c r="S36" s="139"/>
      <c r="T36" s="53"/>
      <c r="U36" s="53"/>
      <c r="V36" s="127"/>
      <c r="W36" s="53"/>
      <c r="X36" s="53"/>
      <c r="Y36" s="127"/>
      <c r="Z36" s="53"/>
      <c r="AA36" s="53"/>
      <c r="AB36" s="127"/>
      <c r="AC36" s="53"/>
      <c r="AD36" s="53"/>
      <c r="AE36" s="127"/>
      <c r="AF36" s="53"/>
      <c r="AG36" s="53"/>
      <c r="AH36" s="127"/>
      <c r="AI36" s="53"/>
      <c r="AJ36" s="53"/>
      <c r="AK36" s="127"/>
      <c r="AL36" s="53"/>
      <c r="AM36" s="53"/>
      <c r="AN36" s="153">
        <f t="shared" si="0"/>
        <v>0</v>
      </c>
    </row>
    <row r="37" spans="2:40" ht="18" customHeight="1">
      <c r="B37" s="133"/>
      <c r="C37" s="56"/>
      <c r="D37" s="135"/>
      <c r="E37" s="51"/>
      <c r="F37" s="51"/>
      <c r="G37" s="127"/>
      <c r="H37" s="53"/>
      <c r="I37" s="53"/>
      <c r="J37" s="127"/>
      <c r="K37" s="67"/>
      <c r="L37" s="67"/>
      <c r="M37" s="127"/>
      <c r="N37" s="53"/>
      <c r="O37" s="53"/>
      <c r="P37" s="127"/>
      <c r="Q37" s="53"/>
      <c r="R37" s="53"/>
      <c r="T37" s="53"/>
      <c r="U37" s="53"/>
      <c r="V37" s="127"/>
      <c r="W37" s="53"/>
      <c r="X37" s="53"/>
      <c r="Y37" s="127"/>
      <c r="Z37" s="53"/>
      <c r="AA37" s="53"/>
      <c r="AB37" s="127"/>
      <c r="AC37" s="53"/>
      <c r="AD37" s="53"/>
      <c r="AE37" s="127"/>
      <c r="AF37" s="53"/>
      <c r="AG37" s="53"/>
      <c r="AH37" s="127"/>
      <c r="AI37" s="53"/>
      <c r="AJ37" s="53"/>
      <c r="AK37" s="127"/>
      <c r="AL37" s="53"/>
      <c r="AM37" s="53"/>
      <c r="AN37" s="153">
        <f t="shared" si="0"/>
        <v>0</v>
      </c>
    </row>
    <row r="38" spans="2:40" ht="18" customHeight="1">
      <c r="B38" s="133"/>
      <c r="C38" s="56" t="s">
        <v>246</v>
      </c>
      <c r="D38" s="135"/>
      <c r="E38" s="51"/>
      <c r="F38" s="51"/>
      <c r="G38" s="127"/>
      <c r="H38" s="53"/>
      <c r="I38" s="53"/>
      <c r="J38" s="127"/>
      <c r="K38" s="67"/>
      <c r="L38" s="67"/>
      <c r="M38" s="127"/>
      <c r="N38" s="53"/>
      <c r="O38" s="53"/>
      <c r="P38" s="127"/>
      <c r="Q38" s="53"/>
      <c r="R38" s="53"/>
      <c r="T38" s="53"/>
      <c r="U38" s="53"/>
      <c r="V38" s="127"/>
      <c r="W38" s="53"/>
      <c r="X38" s="53"/>
      <c r="Y38" s="127"/>
      <c r="Z38" s="53"/>
      <c r="AA38" s="53"/>
      <c r="AB38" s="127"/>
      <c r="AC38" s="53"/>
      <c r="AD38" s="53"/>
      <c r="AE38" s="127"/>
      <c r="AF38" s="53"/>
      <c r="AG38" s="53"/>
      <c r="AH38" s="127"/>
      <c r="AI38" s="53"/>
      <c r="AJ38" s="53"/>
      <c r="AK38" s="127"/>
      <c r="AL38" s="53"/>
      <c r="AM38" s="53"/>
      <c r="AN38" s="153">
        <f t="shared" si="0"/>
        <v>0</v>
      </c>
    </row>
    <row r="39" spans="2:40" ht="18" customHeight="1">
      <c r="B39" s="133"/>
      <c r="C39" s="56"/>
      <c r="D39" s="135"/>
      <c r="E39" s="51"/>
      <c r="F39" s="51"/>
      <c r="G39" s="127"/>
      <c r="H39" s="53"/>
      <c r="I39" s="53"/>
      <c r="J39" s="127"/>
      <c r="K39" s="67"/>
      <c r="L39" s="67"/>
      <c r="M39" s="127"/>
      <c r="N39" s="53"/>
      <c r="O39" s="53"/>
      <c r="P39" s="127"/>
      <c r="Q39" s="53"/>
      <c r="R39" s="53"/>
      <c r="S39" s="127"/>
      <c r="T39" s="53"/>
      <c r="U39" s="53"/>
      <c r="V39" s="127"/>
      <c r="W39" s="53"/>
      <c r="X39" s="53"/>
      <c r="Y39" s="127"/>
      <c r="Z39" s="53"/>
      <c r="AA39" s="53"/>
      <c r="AB39" s="127"/>
      <c r="AC39" s="53"/>
      <c r="AD39" s="53"/>
      <c r="AE39" s="127"/>
      <c r="AF39" s="53"/>
      <c r="AG39" s="53"/>
      <c r="AH39" s="127"/>
      <c r="AI39" s="53"/>
      <c r="AJ39" s="53"/>
      <c r="AK39" s="127"/>
      <c r="AL39" s="53"/>
      <c r="AM39" s="53"/>
      <c r="AN39" s="153">
        <f t="shared" si="0"/>
        <v>0</v>
      </c>
    </row>
    <row r="40" spans="2:40" ht="17.25" customHeight="1">
      <c r="B40" s="131" t="s">
        <v>247</v>
      </c>
      <c r="C40" s="140" t="s">
        <v>248</v>
      </c>
      <c r="D40" s="51"/>
      <c r="E40" s="51"/>
      <c r="F40" s="51"/>
      <c r="G40" s="127"/>
      <c r="H40" s="53"/>
      <c r="I40" s="53"/>
      <c r="J40" s="53"/>
      <c r="K40" s="67"/>
      <c r="L40" s="67"/>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153">
        <f t="shared" si="0"/>
        <v>0</v>
      </c>
    </row>
    <row r="41" spans="2:40">
      <c r="B41" s="141" t="s">
        <v>249</v>
      </c>
      <c r="C41" s="142" t="s">
        <v>250</v>
      </c>
      <c r="D41" s="135"/>
      <c r="E41" s="51"/>
      <c r="F41" s="51"/>
      <c r="G41" s="53"/>
      <c r="H41" s="53"/>
      <c r="I41" s="53"/>
      <c r="J41" s="127"/>
      <c r="K41" s="67"/>
      <c r="L41" s="67"/>
      <c r="M41" s="53"/>
      <c r="N41" s="53"/>
      <c r="O41" s="53"/>
      <c r="P41" s="127"/>
      <c r="Q41" s="53"/>
      <c r="R41" s="53"/>
      <c r="S41" s="127"/>
      <c r="T41" s="53"/>
      <c r="U41" s="53"/>
      <c r="V41" s="127"/>
      <c r="W41" s="53"/>
      <c r="X41" s="53"/>
      <c r="Y41" s="127"/>
      <c r="Z41" s="53"/>
      <c r="AA41" s="53"/>
      <c r="AB41" s="127"/>
      <c r="AC41" s="53"/>
      <c r="AD41" s="53"/>
      <c r="AE41" s="127"/>
      <c r="AF41" s="53"/>
      <c r="AG41" s="53"/>
      <c r="AH41" s="127"/>
      <c r="AI41" s="53"/>
      <c r="AJ41" s="53"/>
      <c r="AK41" s="127"/>
      <c r="AL41" s="53"/>
      <c r="AM41" s="53"/>
      <c r="AN41" s="153">
        <f t="shared" si="0"/>
        <v>0</v>
      </c>
    </row>
    <row r="42" spans="2:40">
      <c r="B42" s="133"/>
      <c r="C42" s="138" t="s">
        <v>206</v>
      </c>
      <c r="D42" s="135">
        <v>43831</v>
      </c>
      <c r="E42" s="51">
        <f>17+11</f>
        <v>28</v>
      </c>
      <c r="F42" s="51">
        <f>17+6</f>
        <v>23</v>
      </c>
      <c r="G42" s="127">
        <v>43862</v>
      </c>
      <c r="H42" s="53">
        <v>4</v>
      </c>
      <c r="I42" s="53">
        <v>4</v>
      </c>
      <c r="J42" s="127">
        <v>43891</v>
      </c>
      <c r="K42" s="53">
        <v>7</v>
      </c>
      <c r="L42" s="53">
        <v>7</v>
      </c>
      <c r="M42" s="53"/>
      <c r="N42" s="53"/>
      <c r="O42" s="53"/>
      <c r="P42" s="127"/>
      <c r="Q42" s="53"/>
      <c r="R42" s="53"/>
      <c r="S42" s="127"/>
      <c r="T42" s="53"/>
      <c r="U42" s="53"/>
      <c r="V42" s="127"/>
      <c r="W42" s="53"/>
      <c r="X42" s="53"/>
      <c r="Y42" s="127"/>
      <c r="Z42" s="53"/>
      <c r="AA42" s="53"/>
      <c r="AB42" s="127"/>
      <c r="AC42" s="53"/>
      <c r="AD42" s="53"/>
      <c r="AE42" s="127"/>
      <c r="AF42" s="53"/>
      <c r="AG42" s="53"/>
      <c r="AH42" s="127"/>
      <c r="AI42" s="53"/>
      <c r="AJ42" s="53"/>
      <c r="AK42" s="127"/>
      <c r="AL42" s="53"/>
      <c r="AM42" s="53"/>
      <c r="AN42" s="153">
        <f t="shared" si="0"/>
        <v>73</v>
      </c>
    </row>
    <row r="43" spans="2:40" s="16" customFormat="1">
      <c r="B43" s="192" t="s">
        <v>251</v>
      </c>
      <c r="C43" s="192"/>
      <c r="E43" s="160">
        <f>SUM(E9:E42)</f>
        <v>59</v>
      </c>
      <c r="F43" s="160">
        <f>SUM(F14:F42)</f>
        <v>25</v>
      </c>
      <c r="G43" s="17"/>
      <c r="H43" s="160">
        <f>SUM(H9:H42)</f>
        <v>99</v>
      </c>
      <c r="I43" s="160">
        <f>SUM(I9:I42)</f>
        <v>64</v>
      </c>
      <c r="J43" s="17"/>
      <c r="K43" s="160">
        <f>SUM(K14:K42)</f>
        <v>43</v>
      </c>
      <c r="L43" s="160">
        <f>SUM(L14:L42)</f>
        <v>27</v>
      </c>
      <c r="M43" s="17"/>
      <c r="N43" s="160">
        <f>SUM(N14:N42)</f>
        <v>0</v>
      </c>
      <c r="O43" s="160">
        <f t="shared" ref="O43:U43" si="1">SUM(O14:O42)</f>
        <v>0</v>
      </c>
      <c r="P43" s="17"/>
      <c r="Q43" s="160">
        <f t="shared" si="1"/>
        <v>19</v>
      </c>
      <c r="R43" s="160">
        <f t="shared" si="1"/>
        <v>10</v>
      </c>
      <c r="S43" s="17"/>
      <c r="T43" s="160">
        <f>SUM(T9:T42)</f>
        <v>0</v>
      </c>
      <c r="U43" s="160">
        <f t="shared" si="1"/>
        <v>0</v>
      </c>
      <c r="V43" s="17"/>
      <c r="W43" s="17"/>
      <c r="X43" s="17"/>
      <c r="Y43" s="17"/>
      <c r="Z43" s="160">
        <f>SUM(Z9:Z42)</f>
        <v>0</v>
      </c>
      <c r="AA43" s="160">
        <f>SUM(AA9:AA42)</f>
        <v>0</v>
      </c>
      <c r="AB43" s="17"/>
      <c r="AC43" s="160">
        <f>SUM(AC9:AC42)</f>
        <v>0</v>
      </c>
      <c r="AD43" s="160">
        <f>SUM(AD9:AD42)</f>
        <v>0</v>
      </c>
      <c r="AE43" s="17"/>
      <c r="AF43" s="160">
        <f t="shared" ref="AF43:AM43" si="2">SUM(AF9:AF42)</f>
        <v>0</v>
      </c>
      <c r="AG43" s="160">
        <f t="shared" si="2"/>
        <v>0</v>
      </c>
      <c r="AH43" s="17"/>
      <c r="AI43" s="160">
        <f t="shared" si="2"/>
        <v>0</v>
      </c>
      <c r="AJ43" s="160">
        <f t="shared" si="2"/>
        <v>0</v>
      </c>
      <c r="AK43" s="17"/>
      <c r="AL43" s="160">
        <f t="shared" si="2"/>
        <v>0</v>
      </c>
      <c r="AM43" s="160">
        <f t="shared" si="2"/>
        <v>0</v>
      </c>
      <c r="AN43" s="153">
        <f>SUM(AN9:AN42)</f>
        <v>346</v>
      </c>
    </row>
    <row r="44" spans="2:40">
      <c r="N44" s="7" t="s">
        <v>271</v>
      </c>
      <c r="T44" s="7" t="s">
        <v>272</v>
      </c>
    </row>
  </sheetData>
  <mergeCells count="5">
    <mergeCell ref="B2:C2"/>
    <mergeCell ref="B3:C3"/>
    <mergeCell ref="B43:C43"/>
    <mergeCell ref="B4:D4"/>
    <mergeCell ref="B6:AN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O133"/>
  <sheetViews>
    <sheetView topLeftCell="A7" workbookViewId="0">
      <selection activeCell="Q35" sqref="Q35"/>
    </sheetView>
  </sheetViews>
  <sheetFormatPr baseColWidth="10" defaultRowHeight="15"/>
  <cols>
    <col min="4" max="4" width="20.85546875" bestFit="1" customWidth="1"/>
    <col min="9" max="13" width="11.7109375" bestFit="1" customWidth="1"/>
  </cols>
  <sheetData>
    <row r="4" spans="3:15" ht="15.75" customHeight="1" thickBot="1">
      <c r="C4" s="228" t="s">
        <v>298</v>
      </c>
      <c r="D4" s="229"/>
      <c r="E4" s="229"/>
      <c r="F4" s="229"/>
      <c r="G4" s="229"/>
      <c r="H4" s="229"/>
      <c r="I4" s="229"/>
      <c r="J4" s="229"/>
      <c r="K4" s="229"/>
      <c r="L4" s="229"/>
      <c r="M4" s="229"/>
      <c r="N4" s="229"/>
      <c r="O4" s="229"/>
    </row>
    <row r="5" spans="3:15" ht="30.75" thickBot="1">
      <c r="C5" s="161" t="s">
        <v>120</v>
      </c>
      <c r="D5" s="161" t="s">
        <v>51</v>
      </c>
      <c r="E5" s="258" t="s">
        <v>52</v>
      </c>
      <c r="F5" s="259"/>
      <c r="G5" s="258" t="s">
        <v>53</v>
      </c>
      <c r="H5" s="259"/>
      <c r="I5" s="161" t="s">
        <v>54</v>
      </c>
      <c r="J5" s="161" t="s">
        <v>275</v>
      </c>
      <c r="K5" s="161" t="s">
        <v>276</v>
      </c>
      <c r="L5" s="161" t="s">
        <v>55</v>
      </c>
      <c r="M5" s="161" t="s">
        <v>56</v>
      </c>
      <c r="N5" s="228" t="s">
        <v>57</v>
      </c>
      <c r="O5" s="229"/>
    </row>
    <row r="6" spans="3:15">
      <c r="C6" s="172" t="s">
        <v>168</v>
      </c>
      <c r="D6" s="173">
        <v>43844.637640821755</v>
      </c>
      <c r="E6" s="260">
        <v>65</v>
      </c>
      <c r="F6" s="261"/>
      <c r="G6" s="262">
        <v>4004130</v>
      </c>
      <c r="H6" s="261"/>
      <c r="I6" s="172">
        <v>552</v>
      </c>
      <c r="J6" s="174">
        <v>9390</v>
      </c>
      <c r="K6" s="174">
        <v>610350</v>
      </c>
      <c r="L6" s="174">
        <v>8992.43</v>
      </c>
      <c r="M6" s="174">
        <v>584507.93999999994</v>
      </c>
      <c r="N6" s="260" t="s">
        <v>58</v>
      </c>
      <c r="O6" s="261"/>
    </row>
    <row r="7" spans="3:15">
      <c r="C7" s="260" t="s">
        <v>169</v>
      </c>
      <c r="D7" s="173">
        <v>43838.386122569442</v>
      </c>
      <c r="E7" s="260">
        <v>25</v>
      </c>
      <c r="F7" s="261"/>
      <c r="G7" s="262">
        <v>3998703</v>
      </c>
      <c r="H7" s="261"/>
      <c r="I7" s="172">
        <v>0</v>
      </c>
      <c r="J7" s="174">
        <v>9380</v>
      </c>
      <c r="K7" s="174">
        <v>234500</v>
      </c>
      <c r="L7" s="174">
        <v>8992.43</v>
      </c>
      <c r="M7" s="174">
        <v>224810.75</v>
      </c>
      <c r="N7" s="260" t="s">
        <v>58</v>
      </c>
      <c r="O7" s="261"/>
    </row>
    <row r="8" spans="3:15">
      <c r="C8" s="261"/>
      <c r="D8" s="173">
        <v>43844.430511076389</v>
      </c>
      <c r="E8" s="260">
        <v>25</v>
      </c>
      <c r="F8" s="261"/>
      <c r="G8" s="262">
        <v>4003920</v>
      </c>
      <c r="H8" s="261"/>
      <c r="I8" s="172">
        <v>0</v>
      </c>
      <c r="J8" s="174">
        <v>9390</v>
      </c>
      <c r="K8" s="174">
        <v>234750</v>
      </c>
      <c r="L8" s="174">
        <v>8992.43</v>
      </c>
      <c r="M8" s="174">
        <v>224810.75</v>
      </c>
      <c r="N8" s="260" t="s">
        <v>58</v>
      </c>
      <c r="O8" s="261"/>
    </row>
    <row r="9" spans="3:15">
      <c r="C9" s="260" t="s">
        <v>170</v>
      </c>
      <c r="D9" s="173">
        <v>43838.380969016202</v>
      </c>
      <c r="E9" s="260">
        <v>24</v>
      </c>
      <c r="F9" s="261"/>
      <c r="G9" s="262">
        <v>3998689</v>
      </c>
      <c r="H9" s="261"/>
      <c r="I9" s="172">
        <v>0</v>
      </c>
      <c r="J9" s="174">
        <v>9380</v>
      </c>
      <c r="K9" s="174">
        <v>225120</v>
      </c>
      <c r="L9" s="174">
        <v>8992.43</v>
      </c>
      <c r="M9" s="174">
        <v>215818.31</v>
      </c>
      <c r="N9" s="260" t="s">
        <v>58</v>
      </c>
      <c r="O9" s="261"/>
    </row>
    <row r="10" spans="3:15">
      <c r="C10" s="261"/>
      <c r="D10" s="173">
        <v>43844.435635648144</v>
      </c>
      <c r="E10" s="260">
        <v>24</v>
      </c>
      <c r="F10" s="261"/>
      <c r="G10" s="262">
        <v>4003924</v>
      </c>
      <c r="H10" s="261"/>
      <c r="I10" s="172">
        <v>0</v>
      </c>
      <c r="J10" s="174">
        <v>9390</v>
      </c>
      <c r="K10" s="174">
        <v>225360</v>
      </c>
      <c r="L10" s="174">
        <v>8992.43</v>
      </c>
      <c r="M10" s="174">
        <v>215818.31</v>
      </c>
      <c r="N10" s="260" t="s">
        <v>58</v>
      </c>
      <c r="O10" s="261"/>
    </row>
    <row r="11" spans="3:15">
      <c r="C11" s="172" t="s">
        <v>171</v>
      </c>
      <c r="D11" s="173">
        <v>43846.649816863421</v>
      </c>
      <c r="E11" s="260">
        <v>76</v>
      </c>
      <c r="F11" s="261"/>
      <c r="G11" s="262">
        <v>4006121</v>
      </c>
      <c r="H11" s="261"/>
      <c r="I11" s="172">
        <v>0</v>
      </c>
      <c r="J11" s="174">
        <v>9390</v>
      </c>
      <c r="K11" s="174">
        <v>713640</v>
      </c>
      <c r="L11" s="174">
        <v>8992.43</v>
      </c>
      <c r="M11" s="174">
        <v>683424.63</v>
      </c>
      <c r="N11" s="260" t="s">
        <v>58</v>
      </c>
      <c r="O11" s="261"/>
    </row>
    <row r="12" spans="3:15">
      <c r="C12" s="260" t="s">
        <v>59</v>
      </c>
      <c r="D12" s="173">
        <v>43844.419316284722</v>
      </c>
      <c r="E12" s="260">
        <v>44</v>
      </c>
      <c r="F12" s="261"/>
      <c r="G12" s="262">
        <v>4003912</v>
      </c>
      <c r="H12" s="261"/>
      <c r="I12" s="172">
        <v>132746</v>
      </c>
      <c r="J12" s="174">
        <v>9390</v>
      </c>
      <c r="K12" s="174">
        <v>413160</v>
      </c>
      <c r="L12" s="174">
        <v>8992.43</v>
      </c>
      <c r="M12" s="174">
        <v>395666.91</v>
      </c>
      <c r="N12" s="260" t="s">
        <v>58</v>
      </c>
      <c r="O12" s="261"/>
    </row>
    <row r="13" spans="3:15">
      <c r="C13" s="261"/>
      <c r="D13" s="173">
        <v>43846.379082719905</v>
      </c>
      <c r="E13" s="263">
        <v>38.161998748779297</v>
      </c>
      <c r="F13" s="264"/>
      <c r="G13" s="262">
        <v>4005806</v>
      </c>
      <c r="H13" s="261"/>
      <c r="I13" s="172">
        <v>132950</v>
      </c>
      <c r="J13" s="174">
        <v>9390</v>
      </c>
      <c r="K13" s="174">
        <v>358341</v>
      </c>
      <c r="L13" s="174">
        <v>8992.43</v>
      </c>
      <c r="M13" s="174">
        <v>343169.09</v>
      </c>
      <c r="N13" s="260" t="s">
        <v>58</v>
      </c>
      <c r="O13" s="261"/>
    </row>
    <row r="14" spans="3:15">
      <c r="C14" s="261"/>
      <c r="D14" s="173">
        <v>43852.412252349532</v>
      </c>
      <c r="E14" s="260">
        <v>37.426998138427734</v>
      </c>
      <c r="F14" s="261"/>
      <c r="G14" s="262">
        <v>4011618</v>
      </c>
      <c r="H14" s="261"/>
      <c r="I14" s="172">
        <v>133260</v>
      </c>
      <c r="J14" s="174">
        <v>9390</v>
      </c>
      <c r="K14" s="174">
        <v>351440</v>
      </c>
      <c r="L14" s="174">
        <v>8992.43</v>
      </c>
      <c r="M14" s="174">
        <v>336559.66</v>
      </c>
      <c r="N14" s="260" t="s">
        <v>58</v>
      </c>
      <c r="O14" s="261"/>
    </row>
    <row r="15" spans="3:15">
      <c r="C15" s="261"/>
      <c r="D15" s="173">
        <v>43858.45457642361</v>
      </c>
      <c r="E15" s="260">
        <v>41.929000854492188</v>
      </c>
      <c r="F15" s="261"/>
      <c r="G15" s="262">
        <v>4017382</v>
      </c>
      <c r="H15" s="261"/>
      <c r="I15" s="172">
        <v>133542</v>
      </c>
      <c r="J15" s="174">
        <v>9390</v>
      </c>
      <c r="K15" s="174">
        <v>393713</v>
      </c>
      <c r="L15" s="174">
        <v>8992.43</v>
      </c>
      <c r="M15" s="174">
        <v>377043.59</v>
      </c>
      <c r="N15" s="260" t="s">
        <v>58</v>
      </c>
      <c r="O15" s="261"/>
    </row>
    <row r="16" spans="3:15">
      <c r="C16" s="261"/>
      <c r="D16" s="173">
        <v>43903.333633182869</v>
      </c>
      <c r="E16" s="260">
        <v>36.080001831054688</v>
      </c>
      <c r="F16" s="261"/>
      <c r="G16" s="262">
        <v>4060795</v>
      </c>
      <c r="H16" s="261"/>
      <c r="I16" s="172">
        <v>133736</v>
      </c>
      <c r="J16" s="174">
        <v>9390</v>
      </c>
      <c r="K16" s="174">
        <v>338791</v>
      </c>
      <c r="L16" s="174">
        <v>8854.2800000000007</v>
      </c>
      <c r="M16" s="174">
        <v>319462.44</v>
      </c>
      <c r="N16" s="260" t="s">
        <v>58</v>
      </c>
      <c r="O16" s="261"/>
    </row>
    <row r="17" spans="3:15">
      <c r="C17" s="260" t="s">
        <v>60</v>
      </c>
      <c r="D17" s="173">
        <v>43837.601636956017</v>
      </c>
      <c r="E17" s="260">
        <v>44</v>
      </c>
      <c r="F17" s="261"/>
      <c r="G17" s="262">
        <v>3998029</v>
      </c>
      <c r="H17" s="261"/>
      <c r="I17" s="172">
        <v>71338</v>
      </c>
      <c r="J17" s="174">
        <v>9380</v>
      </c>
      <c r="K17" s="174">
        <v>412720</v>
      </c>
      <c r="L17" s="174">
        <v>8992.43</v>
      </c>
      <c r="M17" s="174">
        <v>395666.91</v>
      </c>
      <c r="N17" s="260" t="s">
        <v>58</v>
      </c>
      <c r="O17" s="261"/>
    </row>
    <row r="18" spans="3:15">
      <c r="C18" s="261"/>
      <c r="D18" s="173">
        <v>43845.57914065972</v>
      </c>
      <c r="E18" s="260">
        <v>42.470001220703125</v>
      </c>
      <c r="F18" s="261"/>
      <c r="G18" s="262">
        <v>4005013</v>
      </c>
      <c r="H18" s="261"/>
      <c r="I18" s="172">
        <v>71652</v>
      </c>
      <c r="J18" s="174">
        <v>9390</v>
      </c>
      <c r="K18" s="174">
        <v>398793</v>
      </c>
      <c r="L18" s="174">
        <v>8992.43</v>
      </c>
      <c r="M18" s="174">
        <v>381908.5</v>
      </c>
      <c r="N18" s="260" t="s">
        <v>58</v>
      </c>
      <c r="O18" s="261"/>
    </row>
    <row r="19" spans="3:15">
      <c r="C19" s="261"/>
      <c r="D19" s="173">
        <v>43851.347358946754</v>
      </c>
      <c r="E19" s="260">
        <v>39.770000457763672</v>
      </c>
      <c r="F19" s="261"/>
      <c r="G19" s="262">
        <v>4010634</v>
      </c>
      <c r="H19" s="261"/>
      <c r="I19" s="172">
        <v>71933</v>
      </c>
      <c r="J19" s="174">
        <v>9390</v>
      </c>
      <c r="K19" s="174">
        <v>373440</v>
      </c>
      <c r="L19" s="174">
        <v>8992.43</v>
      </c>
      <c r="M19" s="174">
        <v>357628.94</v>
      </c>
      <c r="N19" s="260" t="s">
        <v>58</v>
      </c>
      <c r="O19" s="261"/>
    </row>
    <row r="20" spans="3:15">
      <c r="C20" s="261"/>
      <c r="D20" s="173">
        <v>43857.391561493052</v>
      </c>
      <c r="E20" s="260">
        <v>39.431999206542969</v>
      </c>
      <c r="F20" s="261"/>
      <c r="G20" s="262">
        <v>4016344</v>
      </c>
      <c r="H20" s="261"/>
      <c r="I20" s="172">
        <v>72271</v>
      </c>
      <c r="J20" s="174">
        <v>9390</v>
      </c>
      <c r="K20" s="174">
        <v>370266</v>
      </c>
      <c r="L20" s="174">
        <v>8992.43</v>
      </c>
      <c r="M20" s="174">
        <v>354589.47</v>
      </c>
      <c r="N20" s="260" t="s">
        <v>58</v>
      </c>
      <c r="O20" s="261"/>
    </row>
    <row r="21" spans="3:15">
      <c r="C21" s="261"/>
      <c r="D21" s="173">
        <v>43945.658251076384</v>
      </c>
      <c r="E21" s="260">
        <v>30</v>
      </c>
      <c r="F21" s="261"/>
      <c r="G21" s="262">
        <v>4072845</v>
      </c>
      <c r="H21" s="261"/>
      <c r="I21" s="172">
        <v>72574</v>
      </c>
      <c r="J21" s="174">
        <v>8540</v>
      </c>
      <c r="K21" s="174">
        <v>256200</v>
      </c>
      <c r="L21" s="174">
        <v>7908.8</v>
      </c>
      <c r="M21" s="174">
        <v>237264</v>
      </c>
      <c r="N21" s="260" t="s">
        <v>58</v>
      </c>
      <c r="O21" s="261"/>
    </row>
    <row r="22" spans="3:15">
      <c r="C22" s="261"/>
      <c r="D22" s="173">
        <v>43959.632554594908</v>
      </c>
      <c r="E22" s="260">
        <v>30</v>
      </c>
      <c r="F22" s="261"/>
      <c r="G22" s="262">
        <v>4077240</v>
      </c>
      <c r="H22" s="261"/>
      <c r="I22" s="172">
        <v>72785</v>
      </c>
      <c r="J22" s="174">
        <v>8540</v>
      </c>
      <c r="K22" s="174">
        <v>256200</v>
      </c>
      <c r="L22" s="174">
        <v>7908.8</v>
      </c>
      <c r="M22" s="174">
        <v>237264</v>
      </c>
      <c r="N22" s="260" t="s">
        <v>58</v>
      </c>
      <c r="O22" s="261"/>
    </row>
    <row r="23" spans="3:15">
      <c r="C23" s="261"/>
      <c r="D23" s="173">
        <v>43969.599085381946</v>
      </c>
      <c r="E23" s="260">
        <v>30</v>
      </c>
      <c r="F23" s="261"/>
      <c r="G23" s="262">
        <v>4080913</v>
      </c>
      <c r="H23" s="261"/>
      <c r="I23" s="172">
        <v>73082</v>
      </c>
      <c r="J23" s="174">
        <v>8540</v>
      </c>
      <c r="K23" s="174">
        <v>256200</v>
      </c>
      <c r="L23" s="174">
        <v>7908.8</v>
      </c>
      <c r="M23" s="174">
        <v>237264</v>
      </c>
      <c r="N23" s="260" t="s">
        <v>58</v>
      </c>
      <c r="O23" s="261"/>
    </row>
    <row r="24" spans="3:15">
      <c r="C24" s="261"/>
      <c r="D24" s="173">
        <v>43986.630202696761</v>
      </c>
      <c r="E24" s="260">
        <v>30</v>
      </c>
      <c r="F24" s="261"/>
      <c r="G24" s="262">
        <v>4088202</v>
      </c>
      <c r="H24" s="261"/>
      <c r="I24" s="172">
        <v>73320</v>
      </c>
      <c r="J24" s="174">
        <v>8540</v>
      </c>
      <c r="K24" s="174">
        <v>256200</v>
      </c>
      <c r="L24" s="174">
        <v>7906.5</v>
      </c>
      <c r="M24" s="174">
        <v>237195</v>
      </c>
      <c r="N24" s="260" t="s">
        <v>58</v>
      </c>
      <c r="O24" s="261"/>
    </row>
    <row r="25" spans="3:15">
      <c r="C25" s="260" t="s">
        <v>61</v>
      </c>
      <c r="D25" s="173">
        <v>43846.513457407404</v>
      </c>
      <c r="E25" s="260">
        <v>44</v>
      </c>
      <c r="F25" s="261"/>
      <c r="G25" s="262">
        <v>4005963</v>
      </c>
      <c r="H25" s="261"/>
      <c r="I25" s="172">
        <v>72060</v>
      </c>
      <c r="J25" s="174">
        <v>9390</v>
      </c>
      <c r="K25" s="174">
        <v>413160</v>
      </c>
      <c r="L25" s="174">
        <v>8992.43</v>
      </c>
      <c r="M25" s="174">
        <v>395666.91</v>
      </c>
      <c r="N25" s="260" t="s">
        <v>58</v>
      </c>
      <c r="O25" s="261"/>
    </row>
    <row r="26" spans="3:15">
      <c r="C26" s="261"/>
      <c r="D26" s="173">
        <v>43854.375418402778</v>
      </c>
      <c r="E26" s="260">
        <v>40.58599853515625</v>
      </c>
      <c r="F26" s="261"/>
      <c r="G26" s="262">
        <v>4013564</v>
      </c>
      <c r="H26" s="261"/>
      <c r="I26" s="172">
        <v>72330</v>
      </c>
      <c r="J26" s="174">
        <v>9390</v>
      </c>
      <c r="K26" s="174">
        <v>381103</v>
      </c>
      <c r="L26" s="174">
        <v>8992.43</v>
      </c>
      <c r="M26" s="174">
        <v>364966.75</v>
      </c>
      <c r="N26" s="260" t="s">
        <v>58</v>
      </c>
      <c r="O26" s="261"/>
    </row>
    <row r="27" spans="3:15">
      <c r="C27" s="261"/>
      <c r="D27" s="173">
        <v>43907.38114957176</v>
      </c>
      <c r="E27" s="260">
        <v>42.110000610351563</v>
      </c>
      <c r="F27" s="261"/>
      <c r="G27" s="262">
        <v>4064021</v>
      </c>
      <c r="H27" s="261"/>
      <c r="I27" s="172">
        <v>72594</v>
      </c>
      <c r="J27" s="174">
        <v>9390</v>
      </c>
      <c r="K27" s="174">
        <v>395413</v>
      </c>
      <c r="L27" s="174">
        <v>8853.7999999999993</v>
      </c>
      <c r="M27" s="174">
        <v>372833.5</v>
      </c>
      <c r="N27" s="260" t="s">
        <v>58</v>
      </c>
      <c r="O27" s="261"/>
    </row>
    <row r="28" spans="3:15">
      <c r="C28" s="260" t="s">
        <v>62</v>
      </c>
      <c r="D28" s="173">
        <v>43845.373801932867</v>
      </c>
      <c r="E28" s="260">
        <v>39.816001892089844</v>
      </c>
      <c r="F28" s="261"/>
      <c r="G28" s="262">
        <v>4004789</v>
      </c>
      <c r="H28" s="261"/>
      <c r="I28" s="172">
        <v>67050</v>
      </c>
      <c r="J28" s="174">
        <v>9390</v>
      </c>
      <c r="K28" s="174">
        <v>373872</v>
      </c>
      <c r="L28" s="174">
        <v>8992.43</v>
      </c>
      <c r="M28" s="174">
        <v>358042.59</v>
      </c>
      <c r="N28" s="260" t="s">
        <v>58</v>
      </c>
      <c r="O28" s="261"/>
    </row>
    <row r="29" spans="3:15">
      <c r="C29" s="261"/>
      <c r="D29" s="173">
        <v>43850.639026469908</v>
      </c>
      <c r="E29" s="260">
        <v>43.305000305175781</v>
      </c>
      <c r="F29" s="261"/>
      <c r="G29" s="262">
        <v>4009975</v>
      </c>
      <c r="H29" s="261"/>
      <c r="I29" s="172">
        <v>67350</v>
      </c>
      <c r="J29" s="174">
        <v>9390</v>
      </c>
      <c r="K29" s="174">
        <v>406634</v>
      </c>
      <c r="L29" s="174">
        <v>8992.43</v>
      </c>
      <c r="M29" s="174">
        <v>389417.16</v>
      </c>
      <c r="N29" s="260" t="s">
        <v>58</v>
      </c>
      <c r="O29" s="261"/>
    </row>
    <row r="30" spans="3:15">
      <c r="C30" s="261"/>
      <c r="D30" s="173">
        <v>43855.363740196757</v>
      </c>
      <c r="E30" s="260">
        <v>43.830001831054688</v>
      </c>
      <c r="F30" s="261"/>
      <c r="G30" s="262">
        <v>4014576</v>
      </c>
      <c r="H30" s="261"/>
      <c r="I30" s="172">
        <v>67615</v>
      </c>
      <c r="J30" s="174">
        <v>9390</v>
      </c>
      <c r="K30" s="174">
        <v>411564</v>
      </c>
      <c r="L30" s="174">
        <v>8992.43</v>
      </c>
      <c r="M30" s="174">
        <v>394138.22</v>
      </c>
      <c r="N30" s="260" t="s">
        <v>58</v>
      </c>
      <c r="O30" s="261"/>
    </row>
    <row r="31" spans="3:15">
      <c r="C31" s="261"/>
      <c r="D31" s="173">
        <v>43902.501077858797</v>
      </c>
      <c r="E31" s="260">
        <v>44</v>
      </c>
      <c r="F31" s="261"/>
      <c r="G31" s="262">
        <v>4060105</v>
      </c>
      <c r="H31" s="261"/>
      <c r="I31" s="172">
        <v>67825</v>
      </c>
      <c r="J31" s="174">
        <v>9390</v>
      </c>
      <c r="K31" s="174">
        <v>413160</v>
      </c>
      <c r="L31" s="174">
        <v>8854.2800000000007</v>
      </c>
      <c r="M31" s="174">
        <v>389588.34</v>
      </c>
      <c r="N31" s="260" t="s">
        <v>58</v>
      </c>
      <c r="O31" s="261"/>
    </row>
    <row r="32" spans="3:15">
      <c r="C32" s="261"/>
      <c r="D32" s="173">
        <v>43960.337315277779</v>
      </c>
      <c r="E32" s="260">
        <v>30</v>
      </c>
      <c r="F32" s="261"/>
      <c r="G32" s="262">
        <v>4077456</v>
      </c>
      <c r="H32" s="261"/>
      <c r="I32" s="172">
        <v>68160</v>
      </c>
      <c r="J32" s="174">
        <v>8540</v>
      </c>
      <c r="K32" s="174">
        <v>256200</v>
      </c>
      <c r="L32" s="174">
        <v>7908.8</v>
      </c>
      <c r="M32" s="174">
        <v>237264</v>
      </c>
      <c r="N32" s="260" t="s">
        <v>58</v>
      </c>
      <c r="O32" s="261"/>
    </row>
    <row r="33" spans="3:15">
      <c r="C33" s="261"/>
      <c r="D33" s="173">
        <v>43969.334794016198</v>
      </c>
      <c r="E33" s="260">
        <v>30</v>
      </c>
      <c r="F33" s="261"/>
      <c r="G33" s="262">
        <v>4080777</v>
      </c>
      <c r="H33" s="261"/>
      <c r="I33" s="172">
        <v>68450</v>
      </c>
      <c r="J33" s="174">
        <v>8540</v>
      </c>
      <c r="K33" s="174">
        <v>256200</v>
      </c>
      <c r="L33" s="174">
        <v>7908.8</v>
      </c>
      <c r="M33" s="174">
        <v>237264</v>
      </c>
      <c r="N33" s="260" t="s">
        <v>58</v>
      </c>
      <c r="O33" s="261"/>
    </row>
    <row r="34" spans="3:15">
      <c r="C34" s="261"/>
      <c r="D34" s="173">
        <v>43978.301727627309</v>
      </c>
      <c r="E34" s="260">
        <v>30</v>
      </c>
      <c r="F34" s="261"/>
      <c r="G34" s="262">
        <v>4084463</v>
      </c>
      <c r="H34" s="261"/>
      <c r="I34" s="172">
        <v>68710</v>
      </c>
      <c r="J34" s="174">
        <v>8540</v>
      </c>
      <c r="K34" s="174">
        <v>256200</v>
      </c>
      <c r="L34" s="174">
        <v>7908.8</v>
      </c>
      <c r="M34" s="174">
        <v>237264</v>
      </c>
      <c r="N34" s="260" t="s">
        <v>58</v>
      </c>
      <c r="O34" s="261"/>
    </row>
    <row r="35" spans="3:15">
      <c r="C35" s="261"/>
      <c r="D35" s="173">
        <v>44000.578030590274</v>
      </c>
      <c r="E35" s="260">
        <v>30</v>
      </c>
      <c r="F35" s="261"/>
      <c r="G35" s="262">
        <v>4094762</v>
      </c>
      <c r="H35" s="261"/>
      <c r="I35" s="172">
        <v>68891</v>
      </c>
      <c r="J35" s="174">
        <v>8290</v>
      </c>
      <c r="K35" s="174">
        <v>248700</v>
      </c>
      <c r="L35" s="174">
        <v>7906.5</v>
      </c>
      <c r="M35" s="174">
        <v>237195</v>
      </c>
      <c r="N35" s="260" t="s">
        <v>58</v>
      </c>
      <c r="O35" s="261"/>
    </row>
    <row r="36" spans="3:15">
      <c r="C36" s="260" t="s">
        <v>47</v>
      </c>
      <c r="D36" s="173">
        <v>43851.55505667824</v>
      </c>
      <c r="E36" s="260">
        <v>36.248001098632813</v>
      </c>
      <c r="F36" s="261"/>
      <c r="G36" s="262">
        <v>4010862</v>
      </c>
      <c r="H36" s="261"/>
      <c r="I36" s="172">
        <v>27987</v>
      </c>
      <c r="J36" s="174">
        <v>9390</v>
      </c>
      <c r="K36" s="174">
        <v>340369</v>
      </c>
      <c r="L36" s="174">
        <v>8992.43</v>
      </c>
      <c r="M36" s="174">
        <v>325957.59000000003</v>
      </c>
      <c r="N36" s="260" t="s">
        <v>58</v>
      </c>
      <c r="O36" s="261"/>
    </row>
    <row r="37" spans="3:15">
      <c r="C37" s="261"/>
      <c r="D37" s="173">
        <v>43902.557291400459</v>
      </c>
      <c r="E37" s="260">
        <v>36.095001220703125</v>
      </c>
      <c r="F37" s="261"/>
      <c r="G37" s="262">
        <v>4060152</v>
      </c>
      <c r="H37" s="261"/>
      <c r="I37" s="172">
        <v>28389</v>
      </c>
      <c r="J37" s="174">
        <v>9390</v>
      </c>
      <c r="K37" s="174">
        <v>338932</v>
      </c>
      <c r="L37" s="174">
        <v>8854.2800000000007</v>
      </c>
      <c r="M37" s="174">
        <v>319595.25</v>
      </c>
      <c r="N37" s="260" t="s">
        <v>58</v>
      </c>
      <c r="O37" s="261"/>
    </row>
    <row r="38" spans="3:15">
      <c r="C38" s="261"/>
      <c r="D38" s="173">
        <v>43945.50523052083</v>
      </c>
      <c r="E38" s="260">
        <v>30</v>
      </c>
      <c r="F38" s="261"/>
      <c r="G38" s="262">
        <v>4072789</v>
      </c>
      <c r="H38" s="261"/>
      <c r="I38" s="172">
        <v>28958</v>
      </c>
      <c r="J38" s="174">
        <v>8540</v>
      </c>
      <c r="K38" s="174">
        <v>256200</v>
      </c>
      <c r="L38" s="174">
        <v>7908.8</v>
      </c>
      <c r="M38" s="174">
        <v>237264</v>
      </c>
      <c r="N38" s="260" t="s">
        <v>58</v>
      </c>
      <c r="O38" s="261"/>
    </row>
    <row r="39" spans="3:15">
      <c r="C39" s="261"/>
      <c r="D39" s="173">
        <v>43959.351095451384</v>
      </c>
      <c r="E39" s="260">
        <v>30</v>
      </c>
      <c r="F39" s="261"/>
      <c r="G39" s="262">
        <v>4077089</v>
      </c>
      <c r="H39" s="261"/>
      <c r="I39" s="172">
        <v>29256</v>
      </c>
      <c r="J39" s="174">
        <v>8540</v>
      </c>
      <c r="K39" s="174">
        <v>256200</v>
      </c>
      <c r="L39" s="174">
        <v>7908.8</v>
      </c>
      <c r="M39" s="174">
        <v>237264</v>
      </c>
      <c r="N39" s="260" t="s">
        <v>58</v>
      </c>
      <c r="O39" s="261"/>
    </row>
    <row r="40" spans="3:15">
      <c r="C40" s="261"/>
      <c r="D40" s="173">
        <v>43986.352457141205</v>
      </c>
      <c r="E40" s="260">
        <v>30</v>
      </c>
      <c r="F40" s="261"/>
      <c r="G40" s="262">
        <v>4088010</v>
      </c>
      <c r="H40" s="261"/>
      <c r="I40" s="172">
        <v>29636</v>
      </c>
      <c r="J40" s="174">
        <v>8540</v>
      </c>
      <c r="K40" s="174">
        <v>256200</v>
      </c>
      <c r="L40" s="174">
        <v>7906.5</v>
      </c>
      <c r="M40" s="174">
        <v>237195</v>
      </c>
      <c r="N40" s="260" t="s">
        <v>58</v>
      </c>
      <c r="O40" s="261"/>
    </row>
    <row r="41" spans="3:15">
      <c r="C41" s="261"/>
      <c r="D41" s="173">
        <v>44000.271009525459</v>
      </c>
      <c r="E41" s="260">
        <v>30</v>
      </c>
      <c r="F41" s="261"/>
      <c r="G41" s="262">
        <v>4094560</v>
      </c>
      <c r="H41" s="261"/>
      <c r="I41" s="172">
        <v>29997</v>
      </c>
      <c r="J41" s="174">
        <v>8290</v>
      </c>
      <c r="K41" s="174">
        <v>248700</v>
      </c>
      <c r="L41" s="174">
        <v>7906.5</v>
      </c>
      <c r="M41" s="174">
        <v>237195</v>
      </c>
      <c r="N41" s="260" t="s">
        <v>58</v>
      </c>
      <c r="O41" s="261"/>
    </row>
    <row r="42" spans="3:15">
      <c r="C42" s="261"/>
      <c r="D42" s="173">
        <v>44012.435375347217</v>
      </c>
      <c r="E42" s="260">
        <v>30</v>
      </c>
      <c r="F42" s="261"/>
      <c r="G42" s="262">
        <v>4100709</v>
      </c>
      <c r="H42" s="261"/>
      <c r="I42" s="172">
        <v>30422</v>
      </c>
      <c r="J42" s="174">
        <v>8290</v>
      </c>
      <c r="K42" s="174">
        <v>248700</v>
      </c>
      <c r="L42" s="174">
        <v>7906.5</v>
      </c>
      <c r="M42" s="174">
        <v>237195</v>
      </c>
      <c r="N42" s="260" t="s">
        <v>58</v>
      </c>
      <c r="O42" s="261"/>
    </row>
    <row r="43" spans="3:15">
      <c r="C43" s="260" t="s">
        <v>63</v>
      </c>
      <c r="D43" s="173">
        <v>43832.777443784718</v>
      </c>
      <c r="E43" s="260">
        <v>23.718000411987305</v>
      </c>
      <c r="F43" s="261"/>
      <c r="G43" s="262">
        <v>3994777</v>
      </c>
      <c r="H43" s="261"/>
      <c r="I43" s="172">
        <v>209077</v>
      </c>
      <c r="J43" s="174">
        <v>9260</v>
      </c>
      <c r="K43" s="174">
        <v>219629</v>
      </c>
      <c r="L43" s="174">
        <v>9238.43</v>
      </c>
      <c r="M43" s="174">
        <v>219117.08</v>
      </c>
      <c r="N43" s="260" t="s">
        <v>64</v>
      </c>
      <c r="O43" s="261"/>
    </row>
    <row r="44" spans="3:15">
      <c r="C44" s="261"/>
      <c r="D44" s="173">
        <v>43839.408444479166</v>
      </c>
      <c r="E44" s="260">
        <v>13.798000335693359</v>
      </c>
      <c r="F44" s="261"/>
      <c r="G44" s="262">
        <v>3999583</v>
      </c>
      <c r="H44" s="261"/>
      <c r="I44" s="172">
        <v>209303</v>
      </c>
      <c r="J44" s="174">
        <v>9260</v>
      </c>
      <c r="K44" s="174">
        <v>127769</v>
      </c>
      <c r="L44" s="174">
        <v>9238.43</v>
      </c>
      <c r="M44" s="174">
        <v>127471.86</v>
      </c>
      <c r="N44" s="260" t="s">
        <v>64</v>
      </c>
      <c r="O44" s="261"/>
    </row>
    <row r="45" spans="3:15">
      <c r="C45" s="261"/>
      <c r="D45" s="173">
        <v>43844.339364155094</v>
      </c>
      <c r="E45" s="260">
        <v>15.692000389099121</v>
      </c>
      <c r="F45" s="261"/>
      <c r="G45" s="262">
        <v>4003813</v>
      </c>
      <c r="H45" s="261"/>
      <c r="I45" s="172">
        <v>209581</v>
      </c>
      <c r="J45" s="174">
        <v>9260</v>
      </c>
      <c r="K45" s="174">
        <v>145308</v>
      </c>
      <c r="L45" s="174">
        <v>9238.43</v>
      </c>
      <c r="M45" s="174">
        <v>144969.44</v>
      </c>
      <c r="N45" s="260" t="s">
        <v>64</v>
      </c>
      <c r="O45" s="261"/>
    </row>
    <row r="46" spans="3:15">
      <c r="C46" s="261"/>
      <c r="D46" s="173">
        <v>43846.812519826388</v>
      </c>
      <c r="E46" s="260">
        <v>17.077999114990234</v>
      </c>
      <c r="F46" s="261"/>
      <c r="G46" s="262">
        <v>4006365</v>
      </c>
      <c r="H46" s="261"/>
      <c r="I46" s="172">
        <v>209900</v>
      </c>
      <c r="J46" s="174">
        <v>9260</v>
      </c>
      <c r="K46" s="174">
        <v>158142</v>
      </c>
      <c r="L46" s="174">
        <v>9238.43</v>
      </c>
      <c r="M46" s="174">
        <v>157773.89000000001</v>
      </c>
      <c r="N46" s="260" t="s">
        <v>64</v>
      </c>
      <c r="O46" s="261"/>
    </row>
    <row r="47" spans="3:15">
      <c r="C47" s="261"/>
      <c r="D47" s="173">
        <v>43851.646841203699</v>
      </c>
      <c r="E47" s="260">
        <v>13.157999992370605</v>
      </c>
      <c r="F47" s="261"/>
      <c r="G47" s="262">
        <v>4010957</v>
      </c>
      <c r="H47" s="261"/>
      <c r="I47" s="172">
        <v>210147</v>
      </c>
      <c r="J47" s="174">
        <v>9260</v>
      </c>
      <c r="K47" s="174">
        <v>121843</v>
      </c>
      <c r="L47" s="174">
        <v>9238.43</v>
      </c>
      <c r="M47" s="174">
        <v>121559.26</v>
      </c>
      <c r="N47" s="260" t="s">
        <v>64</v>
      </c>
      <c r="O47" s="261"/>
    </row>
    <row r="48" spans="3:15">
      <c r="C48" s="261"/>
      <c r="D48" s="173">
        <v>43858.326531979168</v>
      </c>
      <c r="E48" s="260">
        <v>16.454000473022461</v>
      </c>
      <c r="F48" s="261"/>
      <c r="G48" s="262">
        <v>4017224</v>
      </c>
      <c r="H48" s="261"/>
      <c r="I48" s="172">
        <v>210412</v>
      </c>
      <c r="J48" s="174">
        <v>9260</v>
      </c>
      <c r="K48" s="174">
        <v>152364</v>
      </c>
      <c r="L48" s="174">
        <v>9238.43</v>
      </c>
      <c r="M48" s="174">
        <v>152009.13</v>
      </c>
      <c r="N48" s="260" t="s">
        <v>64</v>
      </c>
      <c r="O48" s="261"/>
    </row>
    <row r="49" spans="3:15">
      <c r="C49" s="261"/>
      <c r="D49" s="173">
        <v>43866.265706099533</v>
      </c>
      <c r="E49" s="260">
        <v>15.315999984741211</v>
      </c>
      <c r="F49" s="261"/>
      <c r="G49" s="262">
        <v>4025123</v>
      </c>
      <c r="H49" s="261"/>
      <c r="I49" s="172">
        <v>210686</v>
      </c>
      <c r="J49" s="174">
        <v>9260</v>
      </c>
      <c r="K49" s="174">
        <v>141826</v>
      </c>
      <c r="L49" s="174">
        <v>9238.43</v>
      </c>
      <c r="M49" s="174">
        <v>141495.78</v>
      </c>
      <c r="N49" s="260" t="s">
        <v>64</v>
      </c>
      <c r="O49" s="261"/>
    </row>
    <row r="50" spans="3:15">
      <c r="C50" s="261"/>
      <c r="D50" s="173">
        <v>43873.426198113426</v>
      </c>
      <c r="E50" s="260">
        <v>13.121000289916992</v>
      </c>
      <c r="F50" s="261"/>
      <c r="G50" s="262">
        <v>4031815</v>
      </c>
      <c r="H50" s="261"/>
      <c r="I50" s="172">
        <v>210952</v>
      </c>
      <c r="J50" s="174">
        <v>9260</v>
      </c>
      <c r="K50" s="174">
        <v>121500</v>
      </c>
      <c r="L50" s="174">
        <v>9238.43</v>
      </c>
      <c r="M50" s="174">
        <v>121217.44</v>
      </c>
      <c r="N50" s="260" t="s">
        <v>64</v>
      </c>
      <c r="O50" s="261"/>
    </row>
    <row r="51" spans="3:15">
      <c r="C51" s="261"/>
      <c r="D51" s="173">
        <v>43878.766996377315</v>
      </c>
      <c r="E51" s="260">
        <v>15.118000030517578</v>
      </c>
      <c r="F51" s="261"/>
      <c r="G51" s="262">
        <v>4037215</v>
      </c>
      <c r="H51" s="261"/>
      <c r="I51" s="172">
        <v>211227</v>
      </c>
      <c r="J51" s="174">
        <v>9260</v>
      </c>
      <c r="K51" s="174">
        <v>139993</v>
      </c>
      <c r="L51" s="174">
        <v>9238.43</v>
      </c>
      <c r="M51" s="174">
        <v>139666.57999999999</v>
      </c>
      <c r="N51" s="260" t="s">
        <v>64</v>
      </c>
      <c r="O51" s="261"/>
    </row>
    <row r="52" spans="3:15">
      <c r="C52" s="261"/>
      <c r="D52" s="173">
        <v>43882.885905011572</v>
      </c>
      <c r="E52" s="260">
        <v>15.559000015258789</v>
      </c>
      <c r="F52" s="261"/>
      <c r="G52" s="262">
        <v>4041396</v>
      </c>
      <c r="H52" s="261"/>
      <c r="I52" s="172">
        <v>211556</v>
      </c>
      <c r="J52" s="174">
        <v>9260</v>
      </c>
      <c r="K52" s="174">
        <v>144076</v>
      </c>
      <c r="L52" s="174">
        <v>9238.43</v>
      </c>
      <c r="M52" s="174">
        <v>143740.73000000001</v>
      </c>
      <c r="N52" s="260" t="s">
        <v>64</v>
      </c>
      <c r="O52" s="261"/>
    </row>
    <row r="53" spans="3:15">
      <c r="C53" s="261"/>
      <c r="D53" s="173">
        <v>43887.492801076391</v>
      </c>
      <c r="E53" s="260">
        <v>18.166999816894531</v>
      </c>
      <c r="F53" s="261"/>
      <c r="G53" s="262">
        <v>4045605</v>
      </c>
      <c r="H53" s="261"/>
      <c r="I53" s="172">
        <v>211797</v>
      </c>
      <c r="J53" s="174">
        <v>9260</v>
      </c>
      <c r="K53" s="174">
        <v>168226</v>
      </c>
      <c r="L53" s="174">
        <v>9238.43</v>
      </c>
      <c r="M53" s="174">
        <v>167834.55</v>
      </c>
      <c r="N53" s="260" t="s">
        <v>64</v>
      </c>
      <c r="O53" s="261"/>
    </row>
    <row r="54" spans="3:15">
      <c r="C54" s="261"/>
      <c r="D54" s="173">
        <v>43890.319768865738</v>
      </c>
      <c r="E54" s="260">
        <v>12.555000305175781</v>
      </c>
      <c r="F54" s="261"/>
      <c r="G54" s="262">
        <v>4048437</v>
      </c>
      <c r="H54" s="261"/>
      <c r="I54" s="172">
        <v>212037</v>
      </c>
      <c r="J54" s="174">
        <v>9260</v>
      </c>
      <c r="K54" s="174">
        <v>116259</v>
      </c>
      <c r="L54" s="174">
        <v>9238.43</v>
      </c>
      <c r="M54" s="174">
        <v>115988.48</v>
      </c>
      <c r="N54" s="260" t="s">
        <v>64</v>
      </c>
      <c r="O54" s="261"/>
    </row>
    <row r="55" spans="3:15">
      <c r="C55" s="261"/>
      <c r="D55" s="173">
        <v>43895.388954594906</v>
      </c>
      <c r="E55" s="260">
        <v>18.955999374389648</v>
      </c>
      <c r="F55" s="261"/>
      <c r="G55" s="262">
        <v>4053577</v>
      </c>
      <c r="H55" s="261"/>
      <c r="I55" s="172">
        <v>212395</v>
      </c>
      <c r="J55" s="174">
        <v>9260</v>
      </c>
      <c r="K55" s="174">
        <v>175533</v>
      </c>
      <c r="L55" s="174">
        <v>9223.2800000000007</v>
      </c>
      <c r="M55" s="174">
        <v>174836.5</v>
      </c>
      <c r="N55" s="260" t="s">
        <v>64</v>
      </c>
      <c r="O55" s="261"/>
    </row>
    <row r="56" spans="3:15">
      <c r="C56" s="261"/>
      <c r="D56" s="173">
        <v>43900.371354398143</v>
      </c>
      <c r="E56" s="260">
        <v>18.384000778198242</v>
      </c>
      <c r="F56" s="261"/>
      <c r="G56" s="262">
        <v>4058154</v>
      </c>
      <c r="H56" s="261"/>
      <c r="I56" s="172">
        <v>212748</v>
      </c>
      <c r="J56" s="174">
        <v>9260</v>
      </c>
      <c r="K56" s="174">
        <v>170236</v>
      </c>
      <c r="L56" s="174">
        <v>9223.2800000000007</v>
      </c>
      <c r="M56" s="174">
        <v>169560.8</v>
      </c>
      <c r="N56" s="260" t="s">
        <v>64</v>
      </c>
      <c r="O56" s="261"/>
    </row>
    <row r="57" spans="3:15">
      <c r="C57" s="261"/>
      <c r="D57" s="173">
        <v>43906.409532835649</v>
      </c>
      <c r="E57" s="260">
        <v>16.089000701904297</v>
      </c>
      <c r="F57" s="261"/>
      <c r="G57" s="262">
        <v>4063307</v>
      </c>
      <c r="H57" s="261"/>
      <c r="I57" s="172">
        <v>213014</v>
      </c>
      <c r="J57" s="174">
        <v>9260</v>
      </c>
      <c r="K57" s="174">
        <v>148984</v>
      </c>
      <c r="L57" s="174">
        <v>9096.7999999999993</v>
      </c>
      <c r="M57" s="174">
        <v>146358.42000000001</v>
      </c>
      <c r="N57" s="260" t="s">
        <v>64</v>
      </c>
      <c r="O57" s="261"/>
    </row>
    <row r="58" spans="3:15">
      <c r="C58" s="261"/>
      <c r="D58" s="173">
        <v>43909.789447951385</v>
      </c>
      <c r="E58" s="260">
        <v>14.256999969482422</v>
      </c>
      <c r="F58" s="261"/>
      <c r="G58" s="262">
        <v>4065912</v>
      </c>
      <c r="H58" s="261"/>
      <c r="I58" s="172">
        <v>213248</v>
      </c>
      <c r="J58" s="174">
        <v>9260</v>
      </c>
      <c r="K58" s="174">
        <v>132020</v>
      </c>
      <c r="L58" s="174">
        <v>9096.7999999999993</v>
      </c>
      <c r="M58" s="174">
        <v>129693.08</v>
      </c>
      <c r="N58" s="260" t="s">
        <v>64</v>
      </c>
      <c r="O58" s="261"/>
    </row>
    <row r="59" spans="3:15">
      <c r="C59" s="261"/>
      <c r="D59" s="173">
        <v>43923.382882025464</v>
      </c>
      <c r="E59" s="260">
        <v>9.3590002059936523</v>
      </c>
      <c r="F59" s="261"/>
      <c r="G59" s="262">
        <v>4068238</v>
      </c>
      <c r="H59" s="261"/>
      <c r="I59" s="172">
        <v>213410</v>
      </c>
      <c r="J59" s="174">
        <v>8440</v>
      </c>
      <c r="K59" s="174">
        <v>78990</v>
      </c>
      <c r="L59" s="174">
        <v>7806.8</v>
      </c>
      <c r="M59" s="174">
        <v>73063.839999999997</v>
      </c>
      <c r="N59" s="260" t="s">
        <v>64</v>
      </c>
      <c r="O59" s="261"/>
    </row>
    <row r="60" spans="3:15">
      <c r="C60" s="261"/>
      <c r="D60" s="173">
        <v>43939.362123032406</v>
      </c>
      <c r="E60" s="260">
        <v>17.000999450683594</v>
      </c>
      <c r="F60" s="261"/>
      <c r="G60" s="262">
        <v>4071254</v>
      </c>
      <c r="H60" s="261"/>
      <c r="I60" s="172">
        <v>213700</v>
      </c>
      <c r="J60" s="174">
        <v>8390</v>
      </c>
      <c r="K60" s="174">
        <v>142638</v>
      </c>
      <c r="L60" s="174">
        <v>7806.8</v>
      </c>
      <c r="M60" s="174">
        <v>132723.41</v>
      </c>
      <c r="N60" s="260" t="s">
        <v>64</v>
      </c>
      <c r="O60" s="261"/>
    </row>
    <row r="61" spans="3:15">
      <c r="C61" s="261"/>
      <c r="D61" s="173">
        <v>43942.37476450231</v>
      </c>
      <c r="E61" s="260">
        <v>10.286999702453613</v>
      </c>
      <c r="F61" s="261"/>
      <c r="G61" s="262">
        <v>4071879</v>
      </c>
      <c r="H61" s="261"/>
      <c r="I61" s="172">
        <v>213938</v>
      </c>
      <c r="J61" s="174">
        <v>8390</v>
      </c>
      <c r="K61" s="174">
        <v>86308</v>
      </c>
      <c r="L61" s="174">
        <v>7806.8</v>
      </c>
      <c r="M61" s="174">
        <v>80308.55</v>
      </c>
      <c r="N61" s="260" t="s">
        <v>64</v>
      </c>
      <c r="O61" s="261"/>
    </row>
    <row r="62" spans="3:15">
      <c r="C62" s="261"/>
      <c r="D62" s="173">
        <v>43946.315798611111</v>
      </c>
      <c r="E62" s="260">
        <v>16.038999557495117</v>
      </c>
      <c r="F62" s="261"/>
      <c r="G62" s="262">
        <v>4073007</v>
      </c>
      <c r="H62" s="261"/>
      <c r="I62" s="172">
        <v>214250</v>
      </c>
      <c r="J62" s="174">
        <v>8390</v>
      </c>
      <c r="K62" s="174">
        <v>134567</v>
      </c>
      <c r="L62" s="174">
        <v>7806.8</v>
      </c>
      <c r="M62" s="174">
        <v>125213.26</v>
      </c>
      <c r="N62" s="260" t="s">
        <v>64</v>
      </c>
      <c r="O62" s="261"/>
    </row>
    <row r="63" spans="3:15">
      <c r="C63" s="261"/>
      <c r="D63" s="173">
        <v>43950.904860150462</v>
      </c>
      <c r="E63" s="260">
        <v>16.722000122070313</v>
      </c>
      <c r="F63" s="261"/>
      <c r="G63" s="262">
        <v>4074401</v>
      </c>
      <c r="H63" s="261"/>
      <c r="I63" s="172">
        <v>214564</v>
      </c>
      <c r="J63" s="174">
        <v>8390</v>
      </c>
      <c r="K63" s="174">
        <v>140298</v>
      </c>
      <c r="L63" s="174">
        <v>7806.8</v>
      </c>
      <c r="M63" s="174">
        <v>130545.3</v>
      </c>
      <c r="N63" s="260" t="s">
        <v>64</v>
      </c>
      <c r="O63" s="261"/>
    </row>
    <row r="64" spans="3:15">
      <c r="C64" s="261"/>
      <c r="D64" s="173">
        <v>43955.294217476847</v>
      </c>
      <c r="E64" s="260">
        <v>14.951000213623047</v>
      </c>
      <c r="F64" s="261"/>
      <c r="G64" s="262">
        <v>4075590</v>
      </c>
      <c r="H64" s="261"/>
      <c r="I64" s="172">
        <v>214850</v>
      </c>
      <c r="J64" s="174">
        <v>8390</v>
      </c>
      <c r="K64" s="174">
        <v>125439</v>
      </c>
      <c r="L64" s="174">
        <v>7806.8</v>
      </c>
      <c r="M64" s="174">
        <v>116719.47</v>
      </c>
      <c r="N64" s="260" t="s">
        <v>64</v>
      </c>
      <c r="O64" s="261"/>
    </row>
    <row r="65" spans="3:15">
      <c r="C65" s="261"/>
      <c r="D65" s="173">
        <v>43959.456157256944</v>
      </c>
      <c r="E65" s="260">
        <v>18.472999572753906</v>
      </c>
      <c r="F65" s="261"/>
      <c r="G65" s="262">
        <v>4077136</v>
      </c>
      <c r="H65" s="261"/>
      <c r="I65" s="172">
        <v>215100</v>
      </c>
      <c r="J65" s="174">
        <v>8390</v>
      </c>
      <c r="K65" s="174">
        <v>154988</v>
      </c>
      <c r="L65" s="174">
        <v>7806.8</v>
      </c>
      <c r="M65" s="174">
        <v>144215.01999999999</v>
      </c>
      <c r="N65" s="260" t="s">
        <v>64</v>
      </c>
      <c r="O65" s="261"/>
    </row>
    <row r="66" spans="3:15">
      <c r="C66" s="261"/>
      <c r="D66" s="173">
        <v>43964.358890543983</v>
      </c>
      <c r="E66" s="260">
        <v>17.415000915527344</v>
      </c>
      <c r="F66" s="261"/>
      <c r="G66" s="262">
        <v>4078937</v>
      </c>
      <c r="H66" s="261"/>
      <c r="I66" s="172">
        <v>215460</v>
      </c>
      <c r="J66" s="174">
        <v>8390</v>
      </c>
      <c r="K66" s="174">
        <v>146112</v>
      </c>
      <c r="L66" s="174">
        <v>7806.8</v>
      </c>
      <c r="M66" s="174">
        <v>135955.42000000001</v>
      </c>
      <c r="N66" s="260" t="s">
        <v>64</v>
      </c>
      <c r="O66" s="261"/>
    </row>
    <row r="67" spans="3:15">
      <c r="C67" s="261"/>
      <c r="D67" s="173">
        <v>43967.616492210647</v>
      </c>
      <c r="E67" s="260">
        <v>20</v>
      </c>
      <c r="F67" s="261"/>
      <c r="G67" s="262">
        <v>4080286</v>
      </c>
      <c r="H67" s="261"/>
      <c r="I67" s="172">
        <v>215630</v>
      </c>
      <c r="J67" s="174">
        <v>8390</v>
      </c>
      <c r="K67" s="174">
        <v>167800</v>
      </c>
      <c r="L67" s="174">
        <v>7806.8</v>
      </c>
      <c r="M67" s="174">
        <v>156136</v>
      </c>
      <c r="N67" s="260" t="s">
        <v>64</v>
      </c>
      <c r="O67" s="261"/>
    </row>
    <row r="68" spans="3:15">
      <c r="C68" s="261"/>
      <c r="D68" s="173">
        <v>43971.577785381945</v>
      </c>
      <c r="E68" s="260">
        <v>16.104999542236328</v>
      </c>
      <c r="F68" s="261"/>
      <c r="G68" s="262">
        <v>4081764</v>
      </c>
      <c r="H68" s="261"/>
      <c r="I68" s="172">
        <v>215880</v>
      </c>
      <c r="J68" s="174">
        <v>8290</v>
      </c>
      <c r="K68" s="174">
        <v>133510</v>
      </c>
      <c r="L68" s="174">
        <v>7806.8</v>
      </c>
      <c r="M68" s="174">
        <v>125728.51</v>
      </c>
      <c r="N68" s="260" t="s">
        <v>64</v>
      </c>
      <c r="O68" s="261"/>
    </row>
    <row r="69" spans="3:15">
      <c r="C69" s="261"/>
      <c r="D69" s="173">
        <v>43978.913105706015</v>
      </c>
      <c r="E69" s="260">
        <v>19.225000381469727</v>
      </c>
      <c r="F69" s="261"/>
      <c r="G69" s="262">
        <v>4084864</v>
      </c>
      <c r="H69" s="261"/>
      <c r="I69" s="172">
        <v>216240</v>
      </c>
      <c r="J69" s="174">
        <v>8290</v>
      </c>
      <c r="K69" s="174">
        <v>159375</v>
      </c>
      <c r="L69" s="174">
        <v>7806.8</v>
      </c>
      <c r="M69" s="174">
        <v>150085.73000000001</v>
      </c>
      <c r="N69" s="260" t="s">
        <v>64</v>
      </c>
      <c r="O69" s="261"/>
    </row>
    <row r="70" spans="3:15">
      <c r="C70" s="261"/>
      <c r="D70" s="173">
        <v>43985.427911886574</v>
      </c>
      <c r="E70" s="260">
        <v>17.908000946044922</v>
      </c>
      <c r="F70" s="261"/>
      <c r="G70" s="262">
        <v>4087575</v>
      </c>
      <c r="H70" s="261"/>
      <c r="I70" s="172">
        <v>216590</v>
      </c>
      <c r="J70" s="174">
        <v>8290</v>
      </c>
      <c r="K70" s="174">
        <v>148457</v>
      </c>
      <c r="L70" s="174">
        <v>7804.5</v>
      </c>
      <c r="M70" s="174">
        <v>139763</v>
      </c>
      <c r="N70" s="260" t="s">
        <v>64</v>
      </c>
      <c r="O70" s="261"/>
    </row>
    <row r="71" spans="3:15">
      <c r="C71" s="261"/>
      <c r="D71" s="173">
        <v>43991.614627511575</v>
      </c>
      <c r="E71" s="260">
        <v>17.791999816894531</v>
      </c>
      <c r="F71" s="261"/>
      <c r="G71" s="262">
        <v>4090540</v>
      </c>
      <c r="H71" s="261"/>
      <c r="I71" s="172">
        <v>216900</v>
      </c>
      <c r="J71" s="174">
        <v>8290</v>
      </c>
      <c r="K71" s="174">
        <v>147496</v>
      </c>
      <c r="L71" s="174">
        <v>7804.5</v>
      </c>
      <c r="M71" s="174">
        <v>138857.66</v>
      </c>
      <c r="N71" s="260" t="s">
        <v>64</v>
      </c>
      <c r="O71" s="261"/>
    </row>
    <row r="72" spans="3:15">
      <c r="C72" s="261"/>
      <c r="D72" s="173">
        <v>43996.336440706014</v>
      </c>
      <c r="E72" s="260">
        <v>19.16200065612793</v>
      </c>
      <c r="F72" s="261"/>
      <c r="G72" s="262">
        <v>4092849</v>
      </c>
      <c r="H72" s="261"/>
      <c r="I72" s="172">
        <v>217235</v>
      </c>
      <c r="J72" s="174">
        <v>8290</v>
      </c>
      <c r="K72" s="174">
        <v>158853</v>
      </c>
      <c r="L72" s="174">
        <v>7804.5</v>
      </c>
      <c r="M72" s="174">
        <v>149549.82999999999</v>
      </c>
      <c r="N72" s="260" t="s">
        <v>64</v>
      </c>
      <c r="O72" s="261"/>
    </row>
    <row r="73" spans="3:15">
      <c r="C73" s="261"/>
      <c r="D73" s="173">
        <v>43998.611052465276</v>
      </c>
      <c r="E73" s="260">
        <v>14.703000068664551</v>
      </c>
      <c r="F73" s="261"/>
      <c r="G73" s="262">
        <v>4093720</v>
      </c>
      <c r="H73" s="261"/>
      <c r="I73" s="172">
        <v>217345</v>
      </c>
      <c r="J73" s="174">
        <v>8290</v>
      </c>
      <c r="K73" s="174">
        <v>121888</v>
      </c>
      <c r="L73" s="174">
        <v>7804.5</v>
      </c>
      <c r="M73" s="174">
        <v>114749.56</v>
      </c>
      <c r="N73" s="260" t="s">
        <v>64</v>
      </c>
      <c r="O73" s="261"/>
    </row>
    <row r="74" spans="3:15">
      <c r="C74" s="261"/>
      <c r="D74" s="173">
        <v>44001.573727893519</v>
      </c>
      <c r="E74" s="260">
        <v>15.046999931335449</v>
      </c>
      <c r="F74" s="261"/>
      <c r="G74" s="262">
        <v>4095322</v>
      </c>
      <c r="H74" s="261"/>
      <c r="I74" s="172">
        <v>217600</v>
      </c>
      <c r="J74" s="174">
        <v>8290</v>
      </c>
      <c r="K74" s="174">
        <v>124740</v>
      </c>
      <c r="L74" s="174">
        <v>7804.5</v>
      </c>
      <c r="M74" s="174">
        <v>117434.31</v>
      </c>
      <c r="N74" s="260" t="s">
        <v>64</v>
      </c>
      <c r="O74" s="261"/>
    </row>
    <row r="75" spans="3:15">
      <c r="C75" s="261"/>
      <c r="D75" s="173">
        <v>44006.887660335648</v>
      </c>
      <c r="E75" s="260">
        <v>17.527000427246094</v>
      </c>
      <c r="F75" s="261"/>
      <c r="G75" s="262">
        <v>4097926</v>
      </c>
      <c r="H75" s="261"/>
      <c r="I75" s="172">
        <v>217865</v>
      </c>
      <c r="J75" s="174">
        <v>8290</v>
      </c>
      <c r="K75" s="174">
        <v>145299</v>
      </c>
      <c r="L75" s="174">
        <v>7804.5</v>
      </c>
      <c r="M75" s="174">
        <v>136789.47</v>
      </c>
      <c r="N75" s="260" t="s">
        <v>64</v>
      </c>
      <c r="O75" s="261"/>
    </row>
    <row r="76" spans="3:15">
      <c r="C76" s="261"/>
      <c r="D76" s="173">
        <v>44011.434577627311</v>
      </c>
      <c r="E76" s="260">
        <v>14.041000366210938</v>
      </c>
      <c r="F76" s="261"/>
      <c r="G76" s="262">
        <v>4100236</v>
      </c>
      <c r="H76" s="261"/>
      <c r="I76" s="172">
        <v>218063</v>
      </c>
      <c r="J76" s="174">
        <v>8290</v>
      </c>
      <c r="K76" s="174">
        <v>116400</v>
      </c>
      <c r="L76" s="174">
        <v>7804.5</v>
      </c>
      <c r="M76" s="174">
        <v>109582.98</v>
      </c>
      <c r="N76" s="260" t="s">
        <v>64</v>
      </c>
      <c r="O76" s="261"/>
    </row>
    <row r="77" spans="3:15">
      <c r="C77" s="260" t="s">
        <v>48</v>
      </c>
      <c r="D77" s="173">
        <v>43839.39500462963</v>
      </c>
      <c r="E77" s="260">
        <v>15.737000465393066</v>
      </c>
      <c r="F77" s="261"/>
      <c r="G77" s="262">
        <v>3999574</v>
      </c>
      <c r="H77" s="261"/>
      <c r="I77" s="172">
        <v>30105</v>
      </c>
      <c r="J77" s="174">
        <v>9380</v>
      </c>
      <c r="K77" s="174">
        <v>147613</v>
      </c>
      <c r="L77" s="174">
        <v>8992.43</v>
      </c>
      <c r="M77" s="174">
        <v>141513.88</v>
      </c>
      <c r="N77" s="260" t="s">
        <v>58</v>
      </c>
      <c r="O77" s="261"/>
    </row>
    <row r="78" spans="3:15">
      <c r="C78" s="261"/>
      <c r="D78" s="173">
        <v>43851.632684918979</v>
      </c>
      <c r="E78" s="260">
        <v>15.791999816894531</v>
      </c>
      <c r="F78" s="261"/>
      <c r="G78" s="262">
        <v>4010945</v>
      </c>
      <c r="H78" s="261"/>
      <c r="I78" s="172">
        <v>30477</v>
      </c>
      <c r="J78" s="174">
        <v>9390</v>
      </c>
      <c r="K78" s="174">
        <v>148287</v>
      </c>
      <c r="L78" s="174">
        <v>8992.43</v>
      </c>
      <c r="M78" s="174">
        <v>142008.45000000001</v>
      </c>
      <c r="N78" s="260" t="s">
        <v>58</v>
      </c>
      <c r="O78" s="261"/>
    </row>
    <row r="79" spans="3:15">
      <c r="C79" s="261"/>
      <c r="D79" s="173">
        <v>43861.506080208332</v>
      </c>
      <c r="E79" s="260">
        <v>14.314999580383301</v>
      </c>
      <c r="F79" s="261"/>
      <c r="G79" s="262">
        <v>4020426</v>
      </c>
      <c r="H79" s="261"/>
      <c r="I79" s="172">
        <v>30841</v>
      </c>
      <c r="J79" s="174">
        <v>9390</v>
      </c>
      <c r="K79" s="174">
        <v>134418</v>
      </c>
      <c r="L79" s="174">
        <v>8992.43</v>
      </c>
      <c r="M79" s="174">
        <v>128726.63</v>
      </c>
      <c r="N79" s="260" t="s">
        <v>58</v>
      </c>
      <c r="O79" s="261"/>
    </row>
    <row r="80" spans="3:15">
      <c r="C80" s="261"/>
      <c r="D80" s="173">
        <v>43882.638849340277</v>
      </c>
      <c r="E80" s="260">
        <v>15.166999816894531</v>
      </c>
      <c r="F80" s="261"/>
      <c r="G80" s="262">
        <v>4041002</v>
      </c>
      <c r="H80" s="261"/>
      <c r="I80" s="172">
        <v>31213</v>
      </c>
      <c r="J80" s="174">
        <v>9390</v>
      </c>
      <c r="K80" s="174">
        <v>142418</v>
      </c>
      <c r="L80" s="174">
        <v>8992.43</v>
      </c>
      <c r="M80" s="174">
        <v>136388.17000000001</v>
      </c>
      <c r="N80" s="260" t="s">
        <v>58</v>
      </c>
      <c r="O80" s="261"/>
    </row>
    <row r="81" spans="3:15">
      <c r="C81" s="261"/>
      <c r="D81" s="173">
        <v>43894.676367280088</v>
      </c>
      <c r="E81" s="260">
        <v>15.175999641418457</v>
      </c>
      <c r="F81" s="261"/>
      <c r="G81" s="262">
        <v>4052916</v>
      </c>
      <c r="H81" s="261"/>
      <c r="I81" s="172">
        <v>31565</v>
      </c>
      <c r="J81" s="174">
        <v>9390</v>
      </c>
      <c r="K81" s="174">
        <v>142503</v>
      </c>
      <c r="L81" s="174">
        <v>8977.2800000000007</v>
      </c>
      <c r="M81" s="174">
        <v>136239.20000000001</v>
      </c>
      <c r="N81" s="260" t="s">
        <v>58</v>
      </c>
      <c r="O81" s="261"/>
    </row>
    <row r="82" spans="3:15">
      <c r="C82" s="261"/>
      <c r="D82" s="173">
        <v>43949.44212511574</v>
      </c>
      <c r="E82" s="260">
        <v>16.121999740600586</v>
      </c>
      <c r="F82" s="261"/>
      <c r="G82" s="262">
        <v>4073857</v>
      </c>
      <c r="H82" s="261"/>
      <c r="I82" s="172">
        <v>31966</v>
      </c>
      <c r="J82" s="174">
        <v>8540</v>
      </c>
      <c r="K82" s="174">
        <v>137682</v>
      </c>
      <c r="L82" s="174">
        <v>7908.8</v>
      </c>
      <c r="M82" s="174">
        <v>127505.67</v>
      </c>
      <c r="N82" s="260" t="s">
        <v>58</v>
      </c>
      <c r="O82" s="261"/>
    </row>
    <row r="83" spans="3:15">
      <c r="C83" s="261"/>
      <c r="D83" s="173">
        <v>43958.851511724533</v>
      </c>
      <c r="E83" s="260">
        <v>16.36199951171875</v>
      </c>
      <c r="F83" s="261"/>
      <c r="G83" s="262">
        <v>4077007</v>
      </c>
      <c r="H83" s="261"/>
      <c r="I83" s="172">
        <v>32327</v>
      </c>
      <c r="J83" s="174">
        <v>8540</v>
      </c>
      <c r="K83" s="174">
        <v>139731</v>
      </c>
      <c r="L83" s="174">
        <v>7908.8</v>
      </c>
      <c r="M83" s="174">
        <v>129403.78</v>
      </c>
      <c r="N83" s="260" t="s">
        <v>58</v>
      </c>
      <c r="O83" s="261"/>
    </row>
    <row r="84" spans="3:15">
      <c r="C84" s="261"/>
      <c r="D84" s="173">
        <v>43963.728205787032</v>
      </c>
      <c r="E84" s="260">
        <v>16.716999053955078</v>
      </c>
      <c r="F84" s="261"/>
      <c r="G84" s="262">
        <v>4078766</v>
      </c>
      <c r="H84" s="261"/>
      <c r="I84" s="172">
        <v>32776</v>
      </c>
      <c r="J84" s="174">
        <v>8540</v>
      </c>
      <c r="K84" s="174">
        <v>142763</v>
      </c>
      <c r="L84" s="174">
        <v>7908.8</v>
      </c>
      <c r="M84" s="174">
        <v>132211.41</v>
      </c>
      <c r="N84" s="260" t="s">
        <v>58</v>
      </c>
      <c r="O84" s="261"/>
    </row>
    <row r="85" spans="3:15">
      <c r="C85" s="261"/>
      <c r="D85" s="173">
        <v>43970.546171030088</v>
      </c>
      <c r="E85" s="260">
        <v>16.415000915527344</v>
      </c>
      <c r="F85" s="261"/>
      <c r="G85" s="262">
        <v>4081338</v>
      </c>
      <c r="H85" s="261"/>
      <c r="I85" s="172">
        <v>33154</v>
      </c>
      <c r="J85" s="174">
        <v>8540</v>
      </c>
      <c r="K85" s="174">
        <v>140184</v>
      </c>
      <c r="L85" s="174">
        <v>7908.8</v>
      </c>
      <c r="M85" s="174">
        <v>129822.95</v>
      </c>
      <c r="N85" s="260" t="s">
        <v>58</v>
      </c>
      <c r="O85" s="261"/>
    </row>
    <row r="86" spans="3:15">
      <c r="C86" s="261"/>
      <c r="D86" s="173">
        <v>43975.604183530093</v>
      </c>
      <c r="E86" s="260">
        <v>11.663999557495117</v>
      </c>
      <c r="F86" s="261"/>
      <c r="G86" s="262">
        <v>4083523</v>
      </c>
      <c r="H86" s="261"/>
      <c r="I86" s="172">
        <v>33485</v>
      </c>
      <c r="J86" s="174">
        <v>8540</v>
      </c>
      <c r="K86" s="174">
        <v>99611</v>
      </c>
      <c r="L86" s="174">
        <v>7908.8</v>
      </c>
      <c r="M86" s="174">
        <v>92248.23</v>
      </c>
      <c r="N86" s="260" t="s">
        <v>58</v>
      </c>
      <c r="O86" s="261"/>
    </row>
    <row r="87" spans="3:15">
      <c r="C87" s="261"/>
      <c r="D87" s="173">
        <v>43981.861354131943</v>
      </c>
      <c r="E87" s="260">
        <v>15.27400016784668</v>
      </c>
      <c r="F87" s="261"/>
      <c r="G87" s="262">
        <v>4086182</v>
      </c>
      <c r="H87" s="261"/>
      <c r="I87" s="172">
        <v>33843</v>
      </c>
      <c r="J87" s="174">
        <v>8540</v>
      </c>
      <c r="K87" s="174">
        <v>130440</v>
      </c>
      <c r="L87" s="174">
        <v>7908.8</v>
      </c>
      <c r="M87" s="174">
        <v>120799.01</v>
      </c>
      <c r="N87" s="260" t="s">
        <v>58</v>
      </c>
      <c r="O87" s="261"/>
    </row>
    <row r="88" spans="3:15">
      <c r="C88" s="261"/>
      <c r="D88" s="173">
        <v>43987.613483796296</v>
      </c>
      <c r="E88" s="260">
        <v>14.77299976348877</v>
      </c>
      <c r="F88" s="261"/>
      <c r="G88" s="262">
        <v>4088702</v>
      </c>
      <c r="H88" s="261"/>
      <c r="I88" s="172">
        <v>34224</v>
      </c>
      <c r="J88" s="174">
        <v>8540</v>
      </c>
      <c r="K88" s="174">
        <v>126161</v>
      </c>
      <c r="L88" s="174">
        <v>7906.5</v>
      </c>
      <c r="M88" s="174">
        <v>116802.72</v>
      </c>
      <c r="N88" s="260" t="s">
        <v>58</v>
      </c>
      <c r="O88" s="261"/>
    </row>
    <row r="89" spans="3:15">
      <c r="C89" s="261"/>
      <c r="D89" s="173">
        <v>43992.542022604168</v>
      </c>
      <c r="E89" s="260">
        <v>14.979000091552734</v>
      </c>
      <c r="F89" s="261"/>
      <c r="G89" s="262">
        <v>4090978</v>
      </c>
      <c r="H89" s="261"/>
      <c r="I89" s="172">
        <v>34624</v>
      </c>
      <c r="J89" s="174">
        <v>8540</v>
      </c>
      <c r="K89" s="174">
        <v>127921</v>
      </c>
      <c r="L89" s="174">
        <v>7906.5</v>
      </c>
      <c r="M89" s="174">
        <v>118431.46</v>
      </c>
      <c r="N89" s="260" t="s">
        <v>58</v>
      </c>
      <c r="O89" s="261"/>
    </row>
    <row r="90" spans="3:15">
      <c r="C90" s="261"/>
      <c r="D90" s="173">
        <v>43998.863912731482</v>
      </c>
      <c r="E90" s="260">
        <v>13.470999717712402</v>
      </c>
      <c r="F90" s="261"/>
      <c r="G90" s="262">
        <v>4093948</v>
      </c>
      <c r="H90" s="261"/>
      <c r="I90" s="172">
        <v>34952</v>
      </c>
      <c r="J90" s="174">
        <v>8290</v>
      </c>
      <c r="K90" s="174">
        <v>111675</v>
      </c>
      <c r="L90" s="174">
        <v>7906.5</v>
      </c>
      <c r="M90" s="174">
        <v>106508.46</v>
      </c>
      <c r="N90" s="260" t="s">
        <v>58</v>
      </c>
      <c r="O90" s="261"/>
    </row>
    <row r="91" spans="3:15">
      <c r="C91" s="261"/>
      <c r="D91" s="173">
        <v>44005.631894560182</v>
      </c>
      <c r="E91" s="260">
        <v>13.119000434875488</v>
      </c>
      <c r="F91" s="261"/>
      <c r="G91" s="262">
        <v>4097112</v>
      </c>
      <c r="H91" s="261"/>
      <c r="I91" s="172">
        <v>35199</v>
      </c>
      <c r="J91" s="174">
        <v>8290</v>
      </c>
      <c r="K91" s="174">
        <v>108757</v>
      </c>
      <c r="L91" s="174">
        <v>7906.5</v>
      </c>
      <c r="M91" s="174">
        <v>103725.38</v>
      </c>
      <c r="N91" s="260" t="s">
        <v>58</v>
      </c>
      <c r="O91" s="261"/>
    </row>
    <row r="92" spans="3:15">
      <c r="C92" s="261"/>
      <c r="D92" s="173">
        <v>44010.857455868056</v>
      </c>
      <c r="E92" s="260">
        <v>14.883999824523926</v>
      </c>
      <c r="F92" s="261"/>
      <c r="G92" s="262">
        <v>4100116</v>
      </c>
      <c r="H92" s="261"/>
      <c r="I92" s="172">
        <v>35580</v>
      </c>
      <c r="J92" s="174">
        <v>8290</v>
      </c>
      <c r="K92" s="174">
        <v>123388</v>
      </c>
      <c r="L92" s="174">
        <v>7906.5</v>
      </c>
      <c r="M92" s="174">
        <v>117680.34</v>
      </c>
      <c r="N92" s="260" t="s">
        <v>58</v>
      </c>
      <c r="O92" s="261"/>
    </row>
    <row r="93" spans="3:15">
      <c r="C93" s="260" t="s">
        <v>49</v>
      </c>
      <c r="D93" s="173">
        <v>43845.467445138886</v>
      </c>
      <c r="E93" s="260">
        <v>14.661999702453613</v>
      </c>
      <c r="F93" s="261"/>
      <c r="G93" s="262">
        <v>4004876</v>
      </c>
      <c r="H93" s="261"/>
      <c r="I93" s="172">
        <v>33557</v>
      </c>
      <c r="J93" s="174">
        <v>9390</v>
      </c>
      <c r="K93" s="174">
        <v>137676</v>
      </c>
      <c r="L93" s="174">
        <v>8992.43</v>
      </c>
      <c r="M93" s="174">
        <v>131847</v>
      </c>
      <c r="N93" s="260" t="s">
        <v>58</v>
      </c>
      <c r="O93" s="261"/>
    </row>
    <row r="94" spans="3:15">
      <c r="C94" s="261"/>
      <c r="D94" s="173">
        <v>43852.649121527778</v>
      </c>
      <c r="E94" s="260">
        <v>12.625</v>
      </c>
      <c r="F94" s="261"/>
      <c r="G94" s="262">
        <v>4011877</v>
      </c>
      <c r="H94" s="261"/>
      <c r="I94" s="172">
        <v>33844</v>
      </c>
      <c r="J94" s="174">
        <v>9390</v>
      </c>
      <c r="K94" s="174">
        <v>118549</v>
      </c>
      <c r="L94" s="174">
        <v>8992.43</v>
      </c>
      <c r="M94" s="174">
        <v>113529.42</v>
      </c>
      <c r="N94" s="260" t="s">
        <v>58</v>
      </c>
      <c r="O94" s="261"/>
    </row>
    <row r="95" spans="3:15">
      <c r="C95" s="261"/>
      <c r="D95" s="173">
        <v>43873.759587465276</v>
      </c>
      <c r="E95" s="260">
        <v>14.64799976348877</v>
      </c>
      <c r="F95" s="261"/>
      <c r="G95" s="262">
        <v>4032189</v>
      </c>
      <c r="H95" s="261"/>
      <c r="I95" s="172">
        <v>34199</v>
      </c>
      <c r="J95" s="174">
        <v>9390</v>
      </c>
      <c r="K95" s="174">
        <v>137545</v>
      </c>
      <c r="L95" s="174">
        <v>8992.43</v>
      </c>
      <c r="M95" s="174">
        <v>131721.10999999999</v>
      </c>
      <c r="N95" s="260" t="s">
        <v>58</v>
      </c>
      <c r="O95" s="261"/>
    </row>
    <row r="96" spans="3:15">
      <c r="C96" s="261"/>
      <c r="D96" s="173">
        <v>43882.454408645834</v>
      </c>
      <c r="E96" s="260">
        <v>10.37600040435791</v>
      </c>
      <c r="F96" s="261"/>
      <c r="G96" s="262">
        <v>4040798</v>
      </c>
      <c r="H96" s="261"/>
      <c r="I96" s="172">
        <v>34445</v>
      </c>
      <c r="J96" s="174">
        <v>9390</v>
      </c>
      <c r="K96" s="174">
        <v>97431</v>
      </c>
      <c r="L96" s="174">
        <v>8992.43</v>
      </c>
      <c r="M96" s="174">
        <v>93305.45</v>
      </c>
      <c r="N96" s="260" t="s">
        <v>58</v>
      </c>
      <c r="O96" s="261"/>
    </row>
    <row r="97" spans="3:15">
      <c r="C97" s="261"/>
      <c r="D97" s="173">
        <v>43896.368035416664</v>
      </c>
      <c r="E97" s="260">
        <v>13.895999908447266</v>
      </c>
      <c r="F97" s="261"/>
      <c r="G97" s="262">
        <v>4054588</v>
      </c>
      <c r="H97" s="261"/>
      <c r="I97" s="172">
        <v>34778</v>
      </c>
      <c r="J97" s="174">
        <v>9390</v>
      </c>
      <c r="K97" s="174">
        <v>130483</v>
      </c>
      <c r="L97" s="174">
        <v>8977.2800000000007</v>
      </c>
      <c r="M97" s="174">
        <v>124748.29</v>
      </c>
      <c r="N97" s="260" t="s">
        <v>58</v>
      </c>
      <c r="O97" s="261"/>
    </row>
    <row r="98" spans="3:15">
      <c r="C98" s="261"/>
      <c r="D98" s="173">
        <v>43907.436031446756</v>
      </c>
      <c r="E98" s="260">
        <v>12.85099983215332</v>
      </c>
      <c r="F98" s="261"/>
      <c r="G98" s="262">
        <v>4064070</v>
      </c>
      <c r="H98" s="261"/>
      <c r="I98" s="172">
        <v>35103</v>
      </c>
      <c r="J98" s="174">
        <v>9390</v>
      </c>
      <c r="K98" s="174">
        <v>120671</v>
      </c>
      <c r="L98" s="174">
        <v>8853.7999999999993</v>
      </c>
      <c r="M98" s="174">
        <v>113780.18</v>
      </c>
      <c r="N98" s="260" t="s">
        <v>58</v>
      </c>
      <c r="O98" s="261"/>
    </row>
    <row r="99" spans="3:15">
      <c r="C99" s="261"/>
      <c r="D99" s="173">
        <v>43920.318759606482</v>
      </c>
      <c r="E99" s="260">
        <v>7.9239997863769531</v>
      </c>
      <c r="F99" s="261"/>
      <c r="G99" s="262">
        <v>4067672</v>
      </c>
      <c r="H99" s="261"/>
      <c r="I99" s="172">
        <v>35300</v>
      </c>
      <c r="J99" s="174">
        <v>8540</v>
      </c>
      <c r="K99" s="174">
        <v>67671</v>
      </c>
      <c r="L99" s="174">
        <v>7908.8</v>
      </c>
      <c r="M99" s="174">
        <v>62669.33</v>
      </c>
      <c r="N99" s="260" t="s">
        <v>58</v>
      </c>
      <c r="O99" s="261"/>
    </row>
    <row r="100" spans="3:15">
      <c r="C100" s="261"/>
      <c r="D100" s="173">
        <v>43932.355402696754</v>
      </c>
      <c r="E100" s="260">
        <v>13.786999702453613</v>
      </c>
      <c r="F100" s="261"/>
      <c r="G100" s="262">
        <v>4069798</v>
      </c>
      <c r="H100" s="261"/>
      <c r="I100" s="172">
        <v>35624</v>
      </c>
      <c r="J100" s="174">
        <v>8540</v>
      </c>
      <c r="K100" s="174">
        <v>117741</v>
      </c>
      <c r="L100" s="174">
        <v>7908.8</v>
      </c>
      <c r="M100" s="174">
        <v>109038.62</v>
      </c>
      <c r="N100" s="260" t="s">
        <v>58</v>
      </c>
      <c r="O100" s="261"/>
    </row>
    <row r="101" spans="3:15">
      <c r="C101" s="261"/>
      <c r="D101" s="173">
        <v>43942.496775196756</v>
      </c>
      <c r="E101" s="260">
        <v>12.309000015258789</v>
      </c>
      <c r="F101" s="261"/>
      <c r="G101" s="262">
        <v>4071921</v>
      </c>
      <c r="H101" s="261"/>
      <c r="I101" s="172">
        <v>35953</v>
      </c>
      <c r="J101" s="174">
        <v>8540</v>
      </c>
      <c r="K101" s="174">
        <v>105119</v>
      </c>
      <c r="L101" s="174">
        <v>7908.8</v>
      </c>
      <c r="M101" s="174">
        <v>97349.41</v>
      </c>
      <c r="N101" s="260" t="s">
        <v>58</v>
      </c>
      <c r="O101" s="261"/>
    </row>
    <row r="102" spans="3:15">
      <c r="C102" s="261"/>
      <c r="D102" s="173">
        <v>43949.295139386573</v>
      </c>
      <c r="E102" s="260">
        <v>12.970000267028809</v>
      </c>
      <c r="F102" s="261"/>
      <c r="G102" s="262">
        <v>4073808</v>
      </c>
      <c r="H102" s="261"/>
      <c r="I102" s="172">
        <v>36250</v>
      </c>
      <c r="J102" s="174">
        <v>8540</v>
      </c>
      <c r="K102" s="174">
        <v>110764</v>
      </c>
      <c r="L102" s="174">
        <v>7908.8</v>
      </c>
      <c r="M102" s="174">
        <v>102577.13</v>
      </c>
      <c r="N102" s="260" t="s">
        <v>58</v>
      </c>
      <c r="O102" s="261"/>
    </row>
    <row r="103" spans="3:15">
      <c r="C103" s="261"/>
      <c r="D103" s="173">
        <v>43957.418083530094</v>
      </c>
      <c r="E103" s="260">
        <v>12.576000213623047</v>
      </c>
      <c r="F103" s="261"/>
      <c r="G103" s="262">
        <v>4076383</v>
      </c>
      <c r="H103" s="261"/>
      <c r="I103" s="172">
        <v>36516</v>
      </c>
      <c r="J103" s="174">
        <v>8540</v>
      </c>
      <c r="K103" s="174">
        <v>107399</v>
      </c>
      <c r="L103" s="174">
        <v>7908.8</v>
      </c>
      <c r="M103" s="174">
        <v>99461.07</v>
      </c>
      <c r="N103" s="260" t="s">
        <v>58</v>
      </c>
      <c r="O103" s="261"/>
    </row>
    <row r="104" spans="3:15">
      <c r="C104" s="261"/>
      <c r="D104" s="173">
        <v>43965.701668946756</v>
      </c>
      <c r="E104" s="260">
        <v>13.326999664306641</v>
      </c>
      <c r="F104" s="261"/>
      <c r="G104" s="262">
        <v>4079586</v>
      </c>
      <c r="H104" s="261"/>
      <c r="I104" s="172">
        <v>36801</v>
      </c>
      <c r="J104" s="174">
        <v>8540</v>
      </c>
      <c r="K104" s="174">
        <v>113813</v>
      </c>
      <c r="L104" s="174">
        <v>7908.8</v>
      </c>
      <c r="M104" s="174">
        <v>105400.57</v>
      </c>
      <c r="N104" s="260" t="s">
        <v>58</v>
      </c>
      <c r="O104" s="261"/>
    </row>
    <row r="105" spans="3:15">
      <c r="C105" s="261"/>
      <c r="D105" s="173">
        <v>43970.836403506946</v>
      </c>
      <c r="E105" s="260">
        <v>15.541999816894531</v>
      </c>
      <c r="F105" s="261"/>
      <c r="G105" s="262">
        <v>4081554</v>
      </c>
      <c r="H105" s="261"/>
      <c r="I105" s="172">
        <v>37188</v>
      </c>
      <c r="J105" s="174">
        <v>8540</v>
      </c>
      <c r="K105" s="174">
        <v>132729</v>
      </c>
      <c r="L105" s="174">
        <v>7908.8</v>
      </c>
      <c r="M105" s="174">
        <v>122918.56</v>
      </c>
      <c r="N105" s="260" t="s">
        <v>58</v>
      </c>
      <c r="O105" s="261"/>
    </row>
    <row r="106" spans="3:15">
      <c r="C106" s="261"/>
      <c r="D106" s="173">
        <v>43977.292230092593</v>
      </c>
      <c r="E106" s="260">
        <v>14.133999824523926</v>
      </c>
      <c r="F106" s="261"/>
      <c r="G106" s="262">
        <v>4083970</v>
      </c>
      <c r="H106" s="261"/>
      <c r="I106" s="172">
        <v>37508</v>
      </c>
      <c r="J106" s="174">
        <v>8540</v>
      </c>
      <c r="K106" s="174">
        <v>120704</v>
      </c>
      <c r="L106" s="174">
        <v>7908.8</v>
      </c>
      <c r="M106" s="174">
        <v>111782.98</v>
      </c>
      <c r="N106" s="260" t="s">
        <v>58</v>
      </c>
      <c r="O106" s="261"/>
    </row>
    <row r="107" spans="3:15">
      <c r="C107" s="261"/>
      <c r="D107" s="173">
        <v>43983.336759143516</v>
      </c>
      <c r="E107" s="260">
        <v>13.645999908447266</v>
      </c>
      <c r="F107" s="261"/>
      <c r="G107" s="262">
        <v>4086603</v>
      </c>
      <c r="H107" s="261"/>
      <c r="I107" s="172">
        <v>37864</v>
      </c>
      <c r="J107" s="174">
        <v>8540</v>
      </c>
      <c r="K107" s="174">
        <v>116537</v>
      </c>
      <c r="L107" s="174">
        <v>7906.5</v>
      </c>
      <c r="M107" s="174">
        <v>107892.1</v>
      </c>
      <c r="N107" s="260" t="s">
        <v>58</v>
      </c>
      <c r="O107" s="261"/>
    </row>
    <row r="108" spans="3:15">
      <c r="C108" s="261"/>
      <c r="D108" s="173">
        <v>43993.475180590278</v>
      </c>
      <c r="E108" s="260">
        <v>15.149999618530273</v>
      </c>
      <c r="F108" s="261"/>
      <c r="G108" s="262">
        <v>4091383</v>
      </c>
      <c r="H108" s="261"/>
      <c r="I108" s="172">
        <v>38183</v>
      </c>
      <c r="J108" s="174">
        <v>8540</v>
      </c>
      <c r="K108" s="174">
        <v>129381</v>
      </c>
      <c r="L108" s="174">
        <v>7906.5</v>
      </c>
      <c r="M108" s="174">
        <v>119783.47</v>
      </c>
      <c r="N108" s="260" t="s">
        <v>58</v>
      </c>
      <c r="O108" s="261"/>
    </row>
    <row r="109" spans="3:15">
      <c r="C109" s="261"/>
      <c r="D109" s="173">
        <v>44000.277784803242</v>
      </c>
      <c r="E109" s="260">
        <v>10.324000358581543</v>
      </c>
      <c r="F109" s="261"/>
      <c r="G109" s="262">
        <v>4094566</v>
      </c>
      <c r="H109" s="261"/>
      <c r="I109" s="172">
        <v>38385</v>
      </c>
      <c r="J109" s="174">
        <v>8290</v>
      </c>
      <c r="K109" s="174">
        <v>85586</v>
      </c>
      <c r="L109" s="174">
        <v>7906.5</v>
      </c>
      <c r="M109" s="174">
        <v>81626.710000000006</v>
      </c>
      <c r="N109" s="260" t="s">
        <v>58</v>
      </c>
      <c r="O109" s="261"/>
    </row>
    <row r="110" spans="3:15">
      <c r="C110" s="261"/>
      <c r="D110" s="173">
        <v>44008.316122719909</v>
      </c>
      <c r="E110" s="260">
        <v>14.562000274658203</v>
      </c>
      <c r="F110" s="261"/>
      <c r="G110" s="262">
        <v>4098622</v>
      </c>
      <c r="H110" s="261"/>
      <c r="I110" s="172">
        <v>38690</v>
      </c>
      <c r="J110" s="174">
        <v>8290</v>
      </c>
      <c r="K110" s="174">
        <v>120719</v>
      </c>
      <c r="L110" s="174">
        <v>7906.5</v>
      </c>
      <c r="M110" s="174">
        <v>115134.45</v>
      </c>
      <c r="N110" s="260" t="s">
        <v>58</v>
      </c>
      <c r="O110" s="261"/>
    </row>
    <row r="111" spans="3:15">
      <c r="C111" s="260" t="s">
        <v>50</v>
      </c>
      <c r="D111" s="173">
        <v>43852.654773530092</v>
      </c>
      <c r="E111" s="260">
        <v>11.602999687194824</v>
      </c>
      <c r="F111" s="261"/>
      <c r="G111" s="262">
        <v>4011888</v>
      </c>
      <c r="H111" s="261"/>
      <c r="I111" s="172">
        <v>32747</v>
      </c>
      <c r="J111" s="174">
        <v>9390</v>
      </c>
      <c r="K111" s="174">
        <v>108952</v>
      </c>
      <c r="L111" s="174">
        <v>8992.43</v>
      </c>
      <c r="M111" s="174">
        <v>104339.16</v>
      </c>
      <c r="N111" s="260" t="s">
        <v>58</v>
      </c>
      <c r="O111" s="261"/>
    </row>
    <row r="112" spans="3:15">
      <c r="C112" s="261"/>
      <c r="D112" s="173">
        <v>43860.443480011571</v>
      </c>
      <c r="E112" s="260">
        <v>14.130000114440918</v>
      </c>
      <c r="F112" s="261"/>
      <c r="G112" s="262">
        <v>4019323</v>
      </c>
      <c r="H112" s="261"/>
      <c r="I112" s="172">
        <v>33102</v>
      </c>
      <c r="J112" s="174">
        <v>9390</v>
      </c>
      <c r="K112" s="174">
        <v>132681</v>
      </c>
      <c r="L112" s="174">
        <v>8992.43</v>
      </c>
      <c r="M112" s="174">
        <v>127063.03</v>
      </c>
      <c r="N112" s="260" t="s">
        <v>58</v>
      </c>
      <c r="O112" s="261"/>
    </row>
    <row r="113" spans="3:15">
      <c r="C113" s="261"/>
      <c r="D113" s="173">
        <v>43881.29249255787</v>
      </c>
      <c r="E113" s="260">
        <v>11.512999534606934</v>
      </c>
      <c r="F113" s="261"/>
      <c r="G113" s="262">
        <v>4039650</v>
      </c>
      <c r="H113" s="261"/>
      <c r="I113" s="172">
        <v>33379</v>
      </c>
      <c r="J113" s="174">
        <v>9390</v>
      </c>
      <c r="K113" s="174">
        <v>108107</v>
      </c>
      <c r="L113" s="174">
        <v>8992.43</v>
      </c>
      <c r="M113" s="174">
        <v>103529.84</v>
      </c>
      <c r="N113" s="260" t="s">
        <v>58</v>
      </c>
      <c r="O113" s="261"/>
    </row>
    <row r="114" spans="3:15">
      <c r="C114" s="261"/>
      <c r="D114" s="173">
        <v>43892.511303622683</v>
      </c>
      <c r="E114" s="260">
        <v>13.130999565124512</v>
      </c>
      <c r="F114" s="261"/>
      <c r="G114" s="262">
        <v>4050554</v>
      </c>
      <c r="H114" s="261"/>
      <c r="I114" s="172">
        <v>33701</v>
      </c>
      <c r="J114" s="174">
        <v>9390</v>
      </c>
      <c r="K114" s="174">
        <v>123300</v>
      </c>
      <c r="L114" s="174">
        <v>8977.2800000000007</v>
      </c>
      <c r="M114" s="174">
        <v>117880.66</v>
      </c>
      <c r="N114" s="260" t="s">
        <v>58</v>
      </c>
      <c r="O114" s="261"/>
    </row>
    <row r="115" spans="3:15">
      <c r="C115" s="261"/>
      <c r="D115" s="173">
        <v>43907.311585300922</v>
      </c>
      <c r="E115" s="260">
        <v>12.75100040435791</v>
      </c>
      <c r="F115" s="261"/>
      <c r="G115" s="262">
        <v>4063954</v>
      </c>
      <c r="H115" s="261"/>
      <c r="I115" s="172">
        <v>339860</v>
      </c>
      <c r="J115" s="174">
        <v>9390</v>
      </c>
      <c r="K115" s="174">
        <v>119732</v>
      </c>
      <c r="L115" s="174">
        <v>8853.7999999999993</v>
      </c>
      <c r="M115" s="174">
        <v>112894.8</v>
      </c>
      <c r="N115" s="260" t="s">
        <v>58</v>
      </c>
      <c r="O115" s="261"/>
    </row>
    <row r="116" spans="3:15">
      <c r="C116" s="261"/>
      <c r="D116" s="173">
        <v>43913.773752777779</v>
      </c>
      <c r="E116" s="260">
        <v>9.9840002059936523</v>
      </c>
      <c r="F116" s="261"/>
      <c r="G116" s="262">
        <v>4066529</v>
      </c>
      <c r="H116" s="261"/>
      <c r="I116" s="172">
        <v>34266</v>
      </c>
      <c r="J116" s="174">
        <v>8590</v>
      </c>
      <c r="K116" s="174">
        <v>85763</v>
      </c>
      <c r="L116" s="174">
        <v>7908.8</v>
      </c>
      <c r="M116" s="174">
        <v>78961.460000000006</v>
      </c>
      <c r="N116" s="260" t="s">
        <v>58</v>
      </c>
      <c r="O116" s="261"/>
    </row>
    <row r="117" spans="3:15">
      <c r="C117" s="261"/>
      <c r="D117" s="173">
        <v>43924.526597881944</v>
      </c>
      <c r="E117" s="260">
        <v>14.447999954223633</v>
      </c>
      <c r="F117" s="261"/>
      <c r="G117" s="262">
        <v>4068478</v>
      </c>
      <c r="H117" s="261"/>
      <c r="I117" s="172">
        <v>34619</v>
      </c>
      <c r="J117" s="174">
        <v>8540</v>
      </c>
      <c r="K117" s="174">
        <v>123386</v>
      </c>
      <c r="L117" s="174">
        <v>7908.8</v>
      </c>
      <c r="M117" s="174">
        <v>114266.34</v>
      </c>
      <c r="N117" s="260" t="s">
        <v>58</v>
      </c>
      <c r="O117" s="261"/>
    </row>
    <row r="118" spans="3:15">
      <c r="C118" s="261"/>
      <c r="D118" s="173">
        <v>43930.869157754627</v>
      </c>
      <c r="E118" s="260">
        <v>17.482000350952148</v>
      </c>
      <c r="F118" s="261"/>
      <c r="G118" s="262">
        <v>4069709</v>
      </c>
      <c r="H118" s="261"/>
      <c r="I118" s="172">
        <v>35087</v>
      </c>
      <c r="J118" s="174">
        <v>8540</v>
      </c>
      <c r="K118" s="174">
        <v>149296</v>
      </c>
      <c r="L118" s="174">
        <v>7908.8</v>
      </c>
      <c r="M118" s="174">
        <v>138261.64000000001</v>
      </c>
      <c r="N118" s="260" t="s">
        <v>58</v>
      </c>
      <c r="O118" s="261"/>
    </row>
    <row r="119" spans="3:15">
      <c r="C119" s="261"/>
      <c r="D119" s="173">
        <v>43939.363119444446</v>
      </c>
      <c r="E119" s="260">
        <v>12.12600040435791</v>
      </c>
      <c r="F119" s="261"/>
      <c r="G119" s="262">
        <v>4071253</v>
      </c>
      <c r="H119" s="261"/>
      <c r="I119" s="172">
        <v>35400</v>
      </c>
      <c r="J119" s="174">
        <v>8540</v>
      </c>
      <c r="K119" s="174">
        <v>103556</v>
      </c>
      <c r="L119" s="174">
        <v>7908.8</v>
      </c>
      <c r="M119" s="174">
        <v>95902.11</v>
      </c>
      <c r="N119" s="260" t="s">
        <v>58</v>
      </c>
      <c r="O119" s="261"/>
    </row>
    <row r="120" spans="3:15">
      <c r="C120" s="261"/>
      <c r="D120" s="173">
        <v>43947.521364236112</v>
      </c>
      <c r="E120" s="260">
        <v>15.895999908447266</v>
      </c>
      <c r="F120" s="261"/>
      <c r="G120" s="262">
        <v>4073313</v>
      </c>
      <c r="H120" s="261"/>
      <c r="I120" s="172">
        <v>35802</v>
      </c>
      <c r="J120" s="174">
        <v>8540</v>
      </c>
      <c r="K120" s="174">
        <v>135752</v>
      </c>
      <c r="L120" s="174">
        <v>7908.8</v>
      </c>
      <c r="M120" s="174">
        <v>125718.28</v>
      </c>
      <c r="N120" s="260" t="s">
        <v>58</v>
      </c>
      <c r="O120" s="261"/>
    </row>
    <row r="121" spans="3:15">
      <c r="C121" s="261"/>
      <c r="D121" s="173">
        <v>43960.612109293979</v>
      </c>
      <c r="E121" s="260">
        <v>14.871000289916992</v>
      </c>
      <c r="F121" s="261"/>
      <c r="G121" s="262">
        <v>4077610</v>
      </c>
      <c r="H121" s="261"/>
      <c r="I121" s="172">
        <v>36055</v>
      </c>
      <c r="J121" s="174">
        <v>8540</v>
      </c>
      <c r="K121" s="174">
        <v>126998</v>
      </c>
      <c r="L121" s="174">
        <v>7908.8</v>
      </c>
      <c r="M121" s="174">
        <v>117611.77</v>
      </c>
      <c r="N121" s="260" t="s">
        <v>58</v>
      </c>
      <c r="O121" s="261"/>
    </row>
    <row r="122" spans="3:15">
      <c r="C122" s="261"/>
      <c r="D122" s="173">
        <v>43967.620532754627</v>
      </c>
      <c r="E122" s="260">
        <v>13.267000198364258</v>
      </c>
      <c r="F122" s="261"/>
      <c r="G122" s="262">
        <v>4080288</v>
      </c>
      <c r="H122" s="261"/>
      <c r="I122" s="172">
        <v>36334</v>
      </c>
      <c r="J122" s="174">
        <v>8540</v>
      </c>
      <c r="K122" s="174">
        <v>113300</v>
      </c>
      <c r="L122" s="174">
        <v>7908.8</v>
      </c>
      <c r="M122" s="174">
        <v>104926.05</v>
      </c>
      <c r="N122" s="260" t="s">
        <v>58</v>
      </c>
      <c r="O122" s="261"/>
    </row>
    <row r="123" spans="3:15">
      <c r="C123" s="261"/>
      <c r="D123" s="173">
        <v>43972.283735335644</v>
      </c>
      <c r="E123" s="260">
        <v>13.630999565124512</v>
      </c>
      <c r="F123" s="261"/>
      <c r="G123" s="262">
        <v>4082045</v>
      </c>
      <c r="H123" s="261"/>
      <c r="I123" s="172">
        <v>36621</v>
      </c>
      <c r="J123" s="174">
        <v>8540</v>
      </c>
      <c r="K123" s="174">
        <v>116409</v>
      </c>
      <c r="L123" s="174">
        <v>7908.8</v>
      </c>
      <c r="M123" s="174">
        <v>107804.84</v>
      </c>
      <c r="N123" s="260" t="s">
        <v>58</v>
      </c>
      <c r="O123" s="261"/>
    </row>
    <row r="124" spans="3:15">
      <c r="C124" s="261"/>
      <c r="D124" s="173">
        <v>43975.604513506943</v>
      </c>
      <c r="E124" s="260">
        <v>9.7460002899169922</v>
      </c>
      <c r="F124" s="261"/>
      <c r="G124" s="262">
        <v>4083522</v>
      </c>
      <c r="H124" s="261"/>
      <c r="I124" s="172">
        <v>36812</v>
      </c>
      <c r="J124" s="174">
        <v>8540</v>
      </c>
      <c r="K124" s="174">
        <v>83231</v>
      </c>
      <c r="L124" s="174">
        <v>7908.8</v>
      </c>
      <c r="M124" s="174">
        <v>77079.16</v>
      </c>
      <c r="N124" s="260" t="s">
        <v>58</v>
      </c>
      <c r="O124" s="261"/>
    </row>
    <row r="125" spans="3:15">
      <c r="C125" s="261"/>
      <c r="D125" s="173">
        <v>43980.706727164354</v>
      </c>
      <c r="E125" s="260">
        <v>13.088000297546387</v>
      </c>
      <c r="F125" s="261"/>
      <c r="G125" s="262">
        <v>4085598</v>
      </c>
      <c r="H125" s="261"/>
      <c r="I125" s="172">
        <v>37069</v>
      </c>
      <c r="J125" s="174">
        <v>8540</v>
      </c>
      <c r="K125" s="174">
        <v>111772</v>
      </c>
      <c r="L125" s="174">
        <v>7908.8</v>
      </c>
      <c r="M125" s="174">
        <v>103510.38</v>
      </c>
      <c r="N125" s="260" t="s">
        <v>58</v>
      </c>
      <c r="O125" s="261"/>
    </row>
    <row r="126" spans="3:15">
      <c r="C126" s="261"/>
      <c r="D126" s="173">
        <v>43986.705098692131</v>
      </c>
      <c r="E126" s="260">
        <v>12.911999702453613</v>
      </c>
      <c r="F126" s="261"/>
      <c r="G126" s="262">
        <v>4088263</v>
      </c>
      <c r="H126" s="261"/>
      <c r="I126" s="172">
        <v>37388</v>
      </c>
      <c r="J126" s="174">
        <v>8540</v>
      </c>
      <c r="K126" s="174">
        <v>110268</v>
      </c>
      <c r="L126" s="174">
        <v>7906.5</v>
      </c>
      <c r="M126" s="174">
        <v>102088.73</v>
      </c>
      <c r="N126" s="260" t="s">
        <v>58</v>
      </c>
      <c r="O126" s="261"/>
    </row>
    <row r="127" spans="3:15">
      <c r="C127" s="261"/>
      <c r="D127" s="173">
        <v>43993.676103935184</v>
      </c>
      <c r="E127" s="260">
        <v>13.616000175476074</v>
      </c>
      <c r="F127" s="261"/>
      <c r="G127" s="262">
        <v>4091519</v>
      </c>
      <c r="H127" s="261"/>
      <c r="I127" s="172">
        <v>37676</v>
      </c>
      <c r="J127" s="174">
        <v>8540</v>
      </c>
      <c r="K127" s="174">
        <v>116281</v>
      </c>
      <c r="L127" s="174">
        <v>7906.5</v>
      </c>
      <c r="M127" s="174">
        <v>107654.91</v>
      </c>
      <c r="N127" s="260" t="s">
        <v>58</v>
      </c>
      <c r="O127" s="261"/>
    </row>
    <row r="128" spans="3:15">
      <c r="C128" s="261"/>
      <c r="D128" s="173">
        <v>44000.272242094907</v>
      </c>
      <c r="E128" s="260">
        <v>13.019000053405762</v>
      </c>
      <c r="F128" s="261"/>
      <c r="G128" s="262">
        <v>4094561</v>
      </c>
      <c r="H128" s="261"/>
      <c r="I128" s="172">
        <v>379620</v>
      </c>
      <c r="J128" s="174">
        <v>8290</v>
      </c>
      <c r="K128" s="174">
        <v>107928</v>
      </c>
      <c r="L128" s="174">
        <v>7906.5</v>
      </c>
      <c r="M128" s="174">
        <v>102934.73</v>
      </c>
      <c r="N128" s="260" t="s">
        <v>58</v>
      </c>
      <c r="O128" s="261"/>
    </row>
    <row r="129" spans="3:15">
      <c r="C129" s="261"/>
      <c r="D129" s="173">
        <v>44006.604230902776</v>
      </c>
      <c r="E129" s="260">
        <v>15.222999572753906</v>
      </c>
      <c r="F129" s="261"/>
      <c r="G129" s="262">
        <v>4097627</v>
      </c>
      <c r="H129" s="261"/>
      <c r="I129" s="172">
        <v>38284</v>
      </c>
      <c r="J129" s="174">
        <v>8290</v>
      </c>
      <c r="K129" s="174">
        <v>126199</v>
      </c>
      <c r="L129" s="174">
        <v>7906.5</v>
      </c>
      <c r="M129" s="174">
        <v>120360.65</v>
      </c>
      <c r="N129" s="260" t="s">
        <v>58</v>
      </c>
      <c r="O129" s="261"/>
    </row>
    <row r="130" spans="3:15">
      <c r="C130" s="261"/>
      <c r="D130" s="173">
        <v>44010.388368981483</v>
      </c>
      <c r="E130" s="260">
        <v>12.680999755859375</v>
      </c>
      <c r="F130" s="261"/>
      <c r="G130" s="262">
        <v>4099823</v>
      </c>
      <c r="H130" s="261"/>
      <c r="I130" s="172">
        <v>38585</v>
      </c>
      <c r="J130" s="174">
        <v>8290</v>
      </c>
      <c r="K130" s="174">
        <v>105125</v>
      </c>
      <c r="L130" s="174">
        <v>7906.5</v>
      </c>
      <c r="M130" s="174">
        <v>100262.33</v>
      </c>
      <c r="N130" s="260" t="s">
        <v>58</v>
      </c>
      <c r="O130" s="261"/>
    </row>
    <row r="131" spans="3:15">
      <c r="C131" s="260" t="s">
        <v>172</v>
      </c>
      <c r="D131" s="173">
        <v>43844.419735844909</v>
      </c>
      <c r="E131" s="260">
        <v>60</v>
      </c>
      <c r="F131" s="261"/>
      <c r="G131" s="262">
        <v>4003913</v>
      </c>
      <c r="H131" s="261"/>
      <c r="I131" s="172">
        <v>0</v>
      </c>
      <c r="J131" s="174">
        <v>9390</v>
      </c>
      <c r="K131" s="174">
        <v>563400</v>
      </c>
      <c r="L131" s="174">
        <v>8992.43</v>
      </c>
      <c r="M131" s="174">
        <v>539545.75</v>
      </c>
      <c r="N131" s="260" t="s">
        <v>58</v>
      </c>
      <c r="O131" s="261"/>
    </row>
    <row r="132" spans="3:15">
      <c r="C132" s="261"/>
      <c r="D132" s="173">
        <v>43854.625738807867</v>
      </c>
      <c r="E132" s="260">
        <v>60</v>
      </c>
      <c r="F132" s="261"/>
      <c r="G132" s="262">
        <v>4013854</v>
      </c>
      <c r="H132" s="261"/>
      <c r="I132" s="172">
        <v>0</v>
      </c>
      <c r="J132" s="174">
        <v>9390</v>
      </c>
      <c r="K132" s="174">
        <v>563400</v>
      </c>
      <c r="L132" s="174">
        <v>8992.43</v>
      </c>
      <c r="M132" s="174">
        <v>539545.75</v>
      </c>
      <c r="N132" s="260" t="s">
        <v>58</v>
      </c>
      <c r="O132" s="261"/>
    </row>
    <row r="133" spans="3:15">
      <c r="C133" s="261"/>
      <c r="D133" s="173">
        <v>43886.417988425921</v>
      </c>
      <c r="E133" s="260">
        <v>60</v>
      </c>
      <c r="F133" s="261"/>
      <c r="G133" s="262">
        <v>4044541</v>
      </c>
      <c r="H133" s="261"/>
      <c r="I133" s="172">
        <v>0</v>
      </c>
      <c r="J133" s="174">
        <v>9390</v>
      </c>
      <c r="K133" s="174">
        <v>563400</v>
      </c>
      <c r="L133" s="174">
        <v>8992.43</v>
      </c>
      <c r="M133" s="174">
        <v>539545.75</v>
      </c>
      <c r="N133" s="260" t="s">
        <v>58</v>
      </c>
      <c r="O133" s="261"/>
    </row>
  </sheetData>
  <mergeCells count="400">
    <mergeCell ref="E133:F133"/>
    <mergeCell ref="G133:H133"/>
    <mergeCell ref="N133:O133"/>
    <mergeCell ref="C4:O4"/>
    <mergeCell ref="E130:F130"/>
    <mergeCell ref="G130:H130"/>
    <mergeCell ref="N130:O130"/>
    <mergeCell ref="C131:C133"/>
    <mergeCell ref="E131:F131"/>
    <mergeCell ref="G131:H131"/>
    <mergeCell ref="N131:O131"/>
    <mergeCell ref="E132:F132"/>
    <mergeCell ref="G132:H132"/>
    <mergeCell ref="N132:O132"/>
    <mergeCell ref="E128:F128"/>
    <mergeCell ref="G128:H128"/>
    <mergeCell ref="N128:O128"/>
    <mergeCell ref="E129:F129"/>
    <mergeCell ref="G129:H129"/>
    <mergeCell ref="N129:O129"/>
    <mergeCell ref="E126:F126"/>
    <mergeCell ref="G126:H126"/>
    <mergeCell ref="N126:O126"/>
    <mergeCell ref="E127:F127"/>
    <mergeCell ref="G127:H127"/>
    <mergeCell ref="N127:O127"/>
    <mergeCell ref="E124:F124"/>
    <mergeCell ref="G124:H124"/>
    <mergeCell ref="N124:O124"/>
    <mergeCell ref="E125:F125"/>
    <mergeCell ref="G125:H125"/>
    <mergeCell ref="N125:O125"/>
    <mergeCell ref="E122:F122"/>
    <mergeCell ref="G122:H122"/>
    <mergeCell ref="N122:O122"/>
    <mergeCell ref="E123:F123"/>
    <mergeCell ref="G123:H123"/>
    <mergeCell ref="N123:O123"/>
    <mergeCell ref="N120:O120"/>
    <mergeCell ref="E121:F121"/>
    <mergeCell ref="G121:H121"/>
    <mergeCell ref="N121:O121"/>
    <mergeCell ref="E118:F118"/>
    <mergeCell ref="G118:H118"/>
    <mergeCell ref="N118:O118"/>
    <mergeCell ref="E119:F119"/>
    <mergeCell ref="G119:H119"/>
    <mergeCell ref="N119:O119"/>
    <mergeCell ref="C111:C130"/>
    <mergeCell ref="E111:F111"/>
    <mergeCell ref="G111:H111"/>
    <mergeCell ref="N111:O111"/>
    <mergeCell ref="E112:F112"/>
    <mergeCell ref="G112:H112"/>
    <mergeCell ref="N112:O112"/>
    <mergeCell ref="E113:F113"/>
    <mergeCell ref="G113:H113"/>
    <mergeCell ref="N113:O113"/>
    <mergeCell ref="E116:F116"/>
    <mergeCell ref="G116:H116"/>
    <mergeCell ref="N116:O116"/>
    <mergeCell ref="E117:F117"/>
    <mergeCell ref="G117:H117"/>
    <mergeCell ref="N117:O117"/>
    <mergeCell ref="E114:F114"/>
    <mergeCell ref="G114:H114"/>
    <mergeCell ref="N114:O114"/>
    <mergeCell ref="E115:F115"/>
    <mergeCell ref="G115:H115"/>
    <mergeCell ref="N115:O115"/>
    <mergeCell ref="E120:F120"/>
    <mergeCell ref="G120:H120"/>
    <mergeCell ref="E109:F109"/>
    <mergeCell ref="G109:H109"/>
    <mergeCell ref="N109:O109"/>
    <mergeCell ref="E110:F110"/>
    <mergeCell ref="G110:H110"/>
    <mergeCell ref="N110:O110"/>
    <mergeCell ref="E107:F107"/>
    <mergeCell ref="G107:H107"/>
    <mergeCell ref="N107:O107"/>
    <mergeCell ref="E108:F108"/>
    <mergeCell ref="G108:H108"/>
    <mergeCell ref="N108:O108"/>
    <mergeCell ref="E105:F105"/>
    <mergeCell ref="G105:H105"/>
    <mergeCell ref="N105:O105"/>
    <mergeCell ref="E106:F106"/>
    <mergeCell ref="G106:H106"/>
    <mergeCell ref="N106:O106"/>
    <mergeCell ref="E103:F103"/>
    <mergeCell ref="G103:H103"/>
    <mergeCell ref="N103:O103"/>
    <mergeCell ref="E104:F104"/>
    <mergeCell ref="G104:H104"/>
    <mergeCell ref="N104:O104"/>
    <mergeCell ref="E102:F102"/>
    <mergeCell ref="G102:H102"/>
    <mergeCell ref="N102:O102"/>
    <mergeCell ref="E99:F99"/>
    <mergeCell ref="G99:H99"/>
    <mergeCell ref="N99:O99"/>
    <mergeCell ref="E100:F100"/>
    <mergeCell ref="G100:H100"/>
    <mergeCell ref="N100:O100"/>
    <mergeCell ref="G98:H98"/>
    <mergeCell ref="N98:O98"/>
    <mergeCell ref="E95:F95"/>
    <mergeCell ref="G95:H95"/>
    <mergeCell ref="N95:O95"/>
    <mergeCell ref="E96:F96"/>
    <mergeCell ref="G96:H96"/>
    <mergeCell ref="N96:O96"/>
    <mergeCell ref="E101:F101"/>
    <mergeCell ref="G101:H101"/>
    <mergeCell ref="N101:O101"/>
    <mergeCell ref="E92:F92"/>
    <mergeCell ref="G92:H92"/>
    <mergeCell ref="N92:O92"/>
    <mergeCell ref="C93:C110"/>
    <mergeCell ref="E93:F93"/>
    <mergeCell ref="G93:H93"/>
    <mergeCell ref="N93:O93"/>
    <mergeCell ref="E94:F94"/>
    <mergeCell ref="G94:H94"/>
    <mergeCell ref="N94:O94"/>
    <mergeCell ref="C77:C92"/>
    <mergeCell ref="E77:F77"/>
    <mergeCell ref="G77:H77"/>
    <mergeCell ref="N77:O77"/>
    <mergeCell ref="E78:F78"/>
    <mergeCell ref="G78:H78"/>
    <mergeCell ref="N78:O78"/>
    <mergeCell ref="E79:F79"/>
    <mergeCell ref="G79:H79"/>
    <mergeCell ref="N79:O79"/>
    <mergeCell ref="E97:F97"/>
    <mergeCell ref="G97:H97"/>
    <mergeCell ref="N97:O97"/>
    <mergeCell ref="E98:F98"/>
    <mergeCell ref="E90:F90"/>
    <mergeCell ref="G90:H90"/>
    <mergeCell ref="N90:O90"/>
    <mergeCell ref="E91:F91"/>
    <mergeCell ref="G91:H91"/>
    <mergeCell ref="N91:O91"/>
    <mergeCell ref="E88:F88"/>
    <mergeCell ref="G88:H88"/>
    <mergeCell ref="N88:O88"/>
    <mergeCell ref="E89:F89"/>
    <mergeCell ref="G89:H89"/>
    <mergeCell ref="N89:O89"/>
    <mergeCell ref="E86:F86"/>
    <mergeCell ref="G86:H86"/>
    <mergeCell ref="N86:O86"/>
    <mergeCell ref="E87:F87"/>
    <mergeCell ref="G87:H87"/>
    <mergeCell ref="N87:O87"/>
    <mergeCell ref="E84:F84"/>
    <mergeCell ref="G84:H84"/>
    <mergeCell ref="N84:O84"/>
    <mergeCell ref="E85:F85"/>
    <mergeCell ref="G85:H85"/>
    <mergeCell ref="N85:O85"/>
    <mergeCell ref="E82:F82"/>
    <mergeCell ref="G82:H82"/>
    <mergeCell ref="N82:O82"/>
    <mergeCell ref="E83:F83"/>
    <mergeCell ref="G83:H83"/>
    <mergeCell ref="N83:O83"/>
    <mergeCell ref="E80:F80"/>
    <mergeCell ref="G80:H80"/>
    <mergeCell ref="N80:O80"/>
    <mergeCell ref="E81:F81"/>
    <mergeCell ref="G81:H81"/>
    <mergeCell ref="N81:O81"/>
    <mergeCell ref="E75:F75"/>
    <mergeCell ref="G75:H75"/>
    <mergeCell ref="N75:O75"/>
    <mergeCell ref="E76:F76"/>
    <mergeCell ref="G76:H76"/>
    <mergeCell ref="N76:O76"/>
    <mergeCell ref="E73:F73"/>
    <mergeCell ref="G73:H73"/>
    <mergeCell ref="N73:O73"/>
    <mergeCell ref="E74:F74"/>
    <mergeCell ref="G74:H74"/>
    <mergeCell ref="N74:O74"/>
    <mergeCell ref="E71:F71"/>
    <mergeCell ref="G71:H71"/>
    <mergeCell ref="N71:O71"/>
    <mergeCell ref="E72:F72"/>
    <mergeCell ref="G72:H72"/>
    <mergeCell ref="N72:O72"/>
    <mergeCell ref="E69:F69"/>
    <mergeCell ref="G69:H69"/>
    <mergeCell ref="N69:O69"/>
    <mergeCell ref="E70:F70"/>
    <mergeCell ref="G70:H70"/>
    <mergeCell ref="N70:O70"/>
    <mergeCell ref="E67:F67"/>
    <mergeCell ref="G67:H67"/>
    <mergeCell ref="N67:O67"/>
    <mergeCell ref="E68:F68"/>
    <mergeCell ref="G68:H68"/>
    <mergeCell ref="N68:O68"/>
    <mergeCell ref="E65:F65"/>
    <mergeCell ref="G65:H65"/>
    <mergeCell ref="N65:O65"/>
    <mergeCell ref="E66:F66"/>
    <mergeCell ref="G66:H66"/>
    <mergeCell ref="N66:O66"/>
    <mergeCell ref="E63:F63"/>
    <mergeCell ref="G63:H63"/>
    <mergeCell ref="N63:O63"/>
    <mergeCell ref="E64:F64"/>
    <mergeCell ref="G64:H64"/>
    <mergeCell ref="N64:O64"/>
    <mergeCell ref="E61:F61"/>
    <mergeCell ref="G61:H61"/>
    <mergeCell ref="N61:O61"/>
    <mergeCell ref="E62:F62"/>
    <mergeCell ref="G62:H62"/>
    <mergeCell ref="N62:O62"/>
    <mergeCell ref="E59:F59"/>
    <mergeCell ref="G59:H59"/>
    <mergeCell ref="N59:O59"/>
    <mergeCell ref="E60:F60"/>
    <mergeCell ref="G60:H60"/>
    <mergeCell ref="N60:O60"/>
    <mergeCell ref="E57:F57"/>
    <mergeCell ref="G57:H57"/>
    <mergeCell ref="N57:O57"/>
    <mergeCell ref="E58:F58"/>
    <mergeCell ref="G58:H58"/>
    <mergeCell ref="N58:O58"/>
    <mergeCell ref="E56:F56"/>
    <mergeCell ref="G56:H56"/>
    <mergeCell ref="N56:O56"/>
    <mergeCell ref="E53:F53"/>
    <mergeCell ref="G53:H53"/>
    <mergeCell ref="N53:O53"/>
    <mergeCell ref="E54:F54"/>
    <mergeCell ref="G54:H54"/>
    <mergeCell ref="N54:O54"/>
    <mergeCell ref="N52:O52"/>
    <mergeCell ref="E49:F49"/>
    <mergeCell ref="G49:H49"/>
    <mergeCell ref="N49:O49"/>
    <mergeCell ref="E50:F50"/>
    <mergeCell ref="G50:H50"/>
    <mergeCell ref="N50:O50"/>
    <mergeCell ref="E55:F55"/>
    <mergeCell ref="G55:H55"/>
    <mergeCell ref="N55:O55"/>
    <mergeCell ref="C43:C76"/>
    <mergeCell ref="E43:F43"/>
    <mergeCell ref="G43:H43"/>
    <mergeCell ref="N43:O43"/>
    <mergeCell ref="E44:F44"/>
    <mergeCell ref="G44:H44"/>
    <mergeCell ref="N44:O44"/>
    <mergeCell ref="E47:F47"/>
    <mergeCell ref="G47:H47"/>
    <mergeCell ref="N47:O47"/>
    <mergeCell ref="E48:F48"/>
    <mergeCell ref="G48:H48"/>
    <mergeCell ref="N48:O48"/>
    <mergeCell ref="E45:F45"/>
    <mergeCell ref="G45:H45"/>
    <mergeCell ref="N45:O45"/>
    <mergeCell ref="E46:F46"/>
    <mergeCell ref="G46:H46"/>
    <mergeCell ref="N46:O46"/>
    <mergeCell ref="E51:F51"/>
    <mergeCell ref="G51:H51"/>
    <mergeCell ref="N51:O51"/>
    <mergeCell ref="E52:F52"/>
    <mergeCell ref="G52:H52"/>
    <mergeCell ref="G41:H41"/>
    <mergeCell ref="N41:O41"/>
    <mergeCell ref="E38:F38"/>
    <mergeCell ref="G38:H38"/>
    <mergeCell ref="N38:O38"/>
    <mergeCell ref="E39:F39"/>
    <mergeCell ref="G39:H39"/>
    <mergeCell ref="N39:O39"/>
    <mergeCell ref="E42:F42"/>
    <mergeCell ref="G42:H42"/>
    <mergeCell ref="N42:O42"/>
    <mergeCell ref="E35:F35"/>
    <mergeCell ref="G35:H35"/>
    <mergeCell ref="N35:O35"/>
    <mergeCell ref="C36:C42"/>
    <mergeCell ref="E36:F36"/>
    <mergeCell ref="G36:H36"/>
    <mergeCell ref="N36:O36"/>
    <mergeCell ref="E37:F37"/>
    <mergeCell ref="G37:H37"/>
    <mergeCell ref="N37:O37"/>
    <mergeCell ref="C28:C35"/>
    <mergeCell ref="E28:F28"/>
    <mergeCell ref="G28:H28"/>
    <mergeCell ref="N28:O28"/>
    <mergeCell ref="E29:F29"/>
    <mergeCell ref="G29:H29"/>
    <mergeCell ref="N29:O29"/>
    <mergeCell ref="E30:F30"/>
    <mergeCell ref="G30:H30"/>
    <mergeCell ref="N30:O30"/>
    <mergeCell ref="E40:F40"/>
    <mergeCell ref="G40:H40"/>
    <mergeCell ref="N40:O40"/>
    <mergeCell ref="E41:F41"/>
    <mergeCell ref="E33:F33"/>
    <mergeCell ref="G33:H33"/>
    <mergeCell ref="N33:O33"/>
    <mergeCell ref="E34:F34"/>
    <mergeCell ref="G34:H34"/>
    <mergeCell ref="N34:O34"/>
    <mergeCell ref="E31:F31"/>
    <mergeCell ref="G31:H31"/>
    <mergeCell ref="N31:O31"/>
    <mergeCell ref="E32:F32"/>
    <mergeCell ref="G32:H32"/>
    <mergeCell ref="N32:O32"/>
    <mergeCell ref="C25:C27"/>
    <mergeCell ref="E25:F25"/>
    <mergeCell ref="G25:H25"/>
    <mergeCell ref="N25:O25"/>
    <mergeCell ref="E26:F26"/>
    <mergeCell ref="G26:H26"/>
    <mergeCell ref="N26:O26"/>
    <mergeCell ref="E27:F27"/>
    <mergeCell ref="G27:H27"/>
    <mergeCell ref="N27:O27"/>
    <mergeCell ref="N23:O23"/>
    <mergeCell ref="E24:F24"/>
    <mergeCell ref="G24:H24"/>
    <mergeCell ref="N24:O24"/>
    <mergeCell ref="E21:F21"/>
    <mergeCell ref="G21:H21"/>
    <mergeCell ref="N21:O21"/>
    <mergeCell ref="E22:F22"/>
    <mergeCell ref="G22:H22"/>
    <mergeCell ref="N22:O22"/>
    <mergeCell ref="C17:C24"/>
    <mergeCell ref="E17:F17"/>
    <mergeCell ref="G17:H17"/>
    <mergeCell ref="N17:O17"/>
    <mergeCell ref="E18:F18"/>
    <mergeCell ref="G18:H18"/>
    <mergeCell ref="N18:O18"/>
    <mergeCell ref="E14:F14"/>
    <mergeCell ref="G14:H14"/>
    <mergeCell ref="N14:O14"/>
    <mergeCell ref="E15:F15"/>
    <mergeCell ref="G15:H15"/>
    <mergeCell ref="N15:O15"/>
    <mergeCell ref="E19:F19"/>
    <mergeCell ref="G19:H19"/>
    <mergeCell ref="N19:O19"/>
    <mergeCell ref="E20:F20"/>
    <mergeCell ref="G20:H20"/>
    <mergeCell ref="N20:O20"/>
    <mergeCell ref="E16:F16"/>
    <mergeCell ref="G16:H16"/>
    <mergeCell ref="N16:O16"/>
    <mergeCell ref="E23:F23"/>
    <mergeCell ref="G23:H23"/>
    <mergeCell ref="E11:F11"/>
    <mergeCell ref="G11:H11"/>
    <mergeCell ref="N11:O11"/>
    <mergeCell ref="C12:C16"/>
    <mergeCell ref="E12:F12"/>
    <mergeCell ref="G12:H12"/>
    <mergeCell ref="N12:O12"/>
    <mergeCell ref="E13:F13"/>
    <mergeCell ref="G13:H13"/>
    <mergeCell ref="N13:O13"/>
    <mergeCell ref="E5:F5"/>
    <mergeCell ref="G5:H5"/>
    <mergeCell ref="N5:O5"/>
    <mergeCell ref="E6:F6"/>
    <mergeCell ref="G6:H6"/>
    <mergeCell ref="N6:O6"/>
    <mergeCell ref="C9:C10"/>
    <mergeCell ref="E9:F9"/>
    <mergeCell ref="G9:H9"/>
    <mergeCell ref="N9:O9"/>
    <mergeCell ref="E10:F10"/>
    <mergeCell ref="G10:H10"/>
    <mergeCell ref="N10:O10"/>
    <mergeCell ref="C7:C8"/>
    <mergeCell ref="E7:F7"/>
    <mergeCell ref="G7:H7"/>
    <mergeCell ref="N7:O7"/>
    <mergeCell ref="E8:F8"/>
    <mergeCell ref="G8:H8"/>
    <mergeCell ref="N8:O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topLeftCell="A64" workbookViewId="0">
      <selection activeCell="K16" sqref="K16"/>
    </sheetView>
  </sheetViews>
  <sheetFormatPr baseColWidth="10" defaultRowHeight="15"/>
  <cols>
    <col min="1" max="1" width="17.140625" style="162" customWidth="1"/>
    <col min="2" max="2" width="21.85546875" customWidth="1"/>
    <col min="3" max="3" width="37" customWidth="1"/>
    <col min="4" max="4" width="26.85546875" customWidth="1"/>
    <col min="5" max="5" width="26.7109375" customWidth="1"/>
    <col min="6" max="6" width="22.85546875" customWidth="1"/>
  </cols>
  <sheetData>
    <row r="1" spans="1:7" ht="45.75" customHeight="1">
      <c r="A1" s="145" t="s">
        <v>252</v>
      </c>
      <c r="B1" s="145" t="s">
        <v>253</v>
      </c>
      <c r="C1" s="145" t="s">
        <v>254</v>
      </c>
      <c r="D1" s="145" t="s">
        <v>255</v>
      </c>
      <c r="E1" s="145" t="s">
        <v>256</v>
      </c>
      <c r="F1" s="145" t="s">
        <v>257</v>
      </c>
      <c r="G1" s="43"/>
    </row>
    <row r="2" spans="1:7" ht="32.25" customHeight="1">
      <c r="A2" s="145" t="s">
        <v>299</v>
      </c>
      <c r="B2" s="145" t="s">
        <v>63</v>
      </c>
      <c r="C2" s="145">
        <v>27192</v>
      </c>
      <c r="D2" s="175">
        <v>43182</v>
      </c>
      <c r="E2" s="145" t="s">
        <v>259</v>
      </c>
      <c r="F2" s="176">
        <v>1999407</v>
      </c>
      <c r="G2" s="43"/>
    </row>
    <row r="3" spans="1:7" ht="32.25" customHeight="1">
      <c r="A3" s="145" t="s">
        <v>299</v>
      </c>
      <c r="B3" s="145" t="s">
        <v>49</v>
      </c>
      <c r="C3" s="145">
        <v>27115</v>
      </c>
      <c r="D3" s="175">
        <v>43182</v>
      </c>
      <c r="E3" s="145" t="s">
        <v>259</v>
      </c>
      <c r="F3" s="176">
        <v>35700</v>
      </c>
      <c r="G3" s="43"/>
    </row>
    <row r="4" spans="1:7" ht="32.25" customHeight="1">
      <c r="A4" s="150" t="s">
        <v>299</v>
      </c>
      <c r="B4" s="177" t="s">
        <v>300</v>
      </c>
      <c r="C4" s="145">
        <v>27114</v>
      </c>
      <c r="D4" s="175">
        <v>43182</v>
      </c>
      <c r="E4" s="145" t="s">
        <v>259</v>
      </c>
      <c r="F4" s="176">
        <v>196350</v>
      </c>
      <c r="G4" s="43"/>
    </row>
    <row r="5" spans="1:7" ht="32.25" customHeight="1">
      <c r="A5" s="150" t="s">
        <v>299</v>
      </c>
      <c r="B5" s="145" t="s">
        <v>59</v>
      </c>
      <c r="C5" s="145">
        <v>27113</v>
      </c>
      <c r="D5" s="175">
        <v>43182</v>
      </c>
      <c r="E5" s="145" t="s">
        <v>259</v>
      </c>
      <c r="F5" s="176">
        <v>113050</v>
      </c>
    </row>
    <row r="6" spans="1:7" ht="32.25" customHeight="1">
      <c r="A6" s="150" t="s">
        <v>301</v>
      </c>
      <c r="B6" s="145" t="s">
        <v>47</v>
      </c>
      <c r="C6" s="145">
        <v>27893</v>
      </c>
      <c r="D6" s="175">
        <v>43245</v>
      </c>
      <c r="E6" s="145" t="s">
        <v>259</v>
      </c>
      <c r="F6" s="178">
        <v>2212210</v>
      </c>
    </row>
    <row r="7" spans="1:7" ht="32.25" customHeight="1">
      <c r="A7" s="150" t="s">
        <v>301</v>
      </c>
      <c r="B7" s="145" t="s">
        <v>60</v>
      </c>
      <c r="C7" s="145">
        <v>27923</v>
      </c>
      <c r="D7" s="175">
        <v>43245</v>
      </c>
      <c r="E7" s="150" t="s">
        <v>259</v>
      </c>
      <c r="F7" s="178">
        <v>321300</v>
      </c>
    </row>
    <row r="8" spans="1:7" ht="32.25" customHeight="1">
      <c r="A8" s="150" t="s">
        <v>301</v>
      </c>
      <c r="B8" s="145" t="s">
        <v>60</v>
      </c>
      <c r="C8" s="145">
        <v>28241</v>
      </c>
      <c r="D8" s="175">
        <v>43245</v>
      </c>
      <c r="E8" s="150" t="s">
        <v>259</v>
      </c>
      <c r="F8" s="178">
        <v>21658</v>
      </c>
    </row>
    <row r="9" spans="1:7" ht="32.25" customHeight="1">
      <c r="A9" s="150" t="s">
        <v>302</v>
      </c>
      <c r="B9" s="145" t="s">
        <v>63</v>
      </c>
      <c r="C9" s="145">
        <v>28988</v>
      </c>
      <c r="D9" s="175">
        <v>43272</v>
      </c>
      <c r="E9" s="150" t="s">
        <v>259</v>
      </c>
      <c r="F9" s="178">
        <v>634746</v>
      </c>
    </row>
    <row r="10" spans="1:7" ht="32.25" customHeight="1">
      <c r="A10" s="150" t="s">
        <v>303</v>
      </c>
      <c r="B10" s="145" t="s">
        <v>62</v>
      </c>
      <c r="C10" s="145">
        <v>29457</v>
      </c>
      <c r="D10" s="175">
        <v>43313</v>
      </c>
      <c r="E10" s="150" t="s">
        <v>259</v>
      </c>
      <c r="F10" s="178">
        <v>4144713</v>
      </c>
    </row>
    <row r="11" spans="1:7" ht="32.25" customHeight="1">
      <c r="A11" s="150" t="s">
        <v>303</v>
      </c>
      <c r="B11" s="145" t="s">
        <v>47</v>
      </c>
      <c r="C11" s="145">
        <v>29458</v>
      </c>
      <c r="D11" s="175">
        <v>43313</v>
      </c>
      <c r="E11" s="150" t="s">
        <v>259</v>
      </c>
      <c r="F11" s="178">
        <v>1701700</v>
      </c>
    </row>
    <row r="12" spans="1:7" ht="32.25" customHeight="1">
      <c r="A12" s="150" t="s">
        <v>303</v>
      </c>
      <c r="B12" s="145" t="s">
        <v>304</v>
      </c>
      <c r="C12" s="145">
        <v>28521</v>
      </c>
      <c r="D12" s="175">
        <v>43321</v>
      </c>
      <c r="E12" s="150" t="s">
        <v>259</v>
      </c>
      <c r="F12" s="178">
        <v>4369843</v>
      </c>
    </row>
    <row r="13" spans="1:7" ht="32.25" customHeight="1">
      <c r="A13" s="150" t="s">
        <v>303</v>
      </c>
      <c r="B13" s="145" t="s">
        <v>305</v>
      </c>
      <c r="C13" s="145">
        <v>26829</v>
      </c>
      <c r="D13" s="175">
        <v>43325</v>
      </c>
      <c r="E13" s="150" t="s">
        <v>259</v>
      </c>
      <c r="F13" s="178">
        <v>3712800</v>
      </c>
    </row>
    <row r="14" spans="1:7" ht="32.25" customHeight="1">
      <c r="A14" s="150" t="s">
        <v>303</v>
      </c>
      <c r="B14" s="145" t="s">
        <v>305</v>
      </c>
      <c r="C14" s="145">
        <v>26829</v>
      </c>
      <c r="D14" s="175">
        <v>43325</v>
      </c>
      <c r="E14" s="150" t="s">
        <v>259</v>
      </c>
      <c r="F14" s="178">
        <v>496230</v>
      </c>
    </row>
    <row r="15" spans="1:7" ht="32.25" customHeight="1">
      <c r="A15" s="150" t="s">
        <v>303</v>
      </c>
      <c r="B15" s="145" t="s">
        <v>63</v>
      </c>
      <c r="C15" s="145">
        <v>28231</v>
      </c>
      <c r="D15" s="175">
        <v>43325</v>
      </c>
      <c r="E15" s="150" t="s">
        <v>259</v>
      </c>
      <c r="F15" s="178">
        <v>1470411</v>
      </c>
    </row>
    <row r="16" spans="1:7" ht="32.25" customHeight="1">
      <c r="A16" s="150" t="s">
        <v>306</v>
      </c>
      <c r="B16" s="145" t="s">
        <v>62</v>
      </c>
      <c r="C16" s="145">
        <v>30590</v>
      </c>
      <c r="D16" s="175">
        <v>43427</v>
      </c>
      <c r="E16" s="150" t="s">
        <v>259</v>
      </c>
      <c r="F16" s="178">
        <v>2273832</v>
      </c>
    </row>
    <row r="17" spans="1:6" ht="32.25" customHeight="1">
      <c r="A17" s="150" t="s">
        <v>306</v>
      </c>
      <c r="B17" s="145" t="s">
        <v>63</v>
      </c>
      <c r="C17" s="145">
        <v>30594</v>
      </c>
      <c r="D17" s="175">
        <v>43427</v>
      </c>
      <c r="E17" s="150" t="s">
        <v>259</v>
      </c>
      <c r="F17" s="178">
        <v>307675</v>
      </c>
    </row>
    <row r="18" spans="1:6" ht="32.25" customHeight="1">
      <c r="A18" s="150" t="s">
        <v>306</v>
      </c>
      <c r="B18" s="145" t="s">
        <v>59</v>
      </c>
      <c r="C18" s="145">
        <v>30703</v>
      </c>
      <c r="D18" s="175">
        <v>43427</v>
      </c>
      <c r="E18" s="150" t="s">
        <v>259</v>
      </c>
      <c r="F18" s="178">
        <v>6858655</v>
      </c>
    </row>
    <row r="19" spans="1:6" ht="32.25" customHeight="1">
      <c r="A19" s="150" t="s">
        <v>306</v>
      </c>
      <c r="B19" s="145" t="s">
        <v>62</v>
      </c>
      <c r="C19" s="145">
        <v>30748</v>
      </c>
      <c r="D19" s="175">
        <v>43427</v>
      </c>
      <c r="E19" s="150" t="s">
        <v>259</v>
      </c>
      <c r="F19" s="178">
        <v>1013880</v>
      </c>
    </row>
    <row r="20" spans="1:6" ht="32.25" customHeight="1">
      <c r="A20" s="150" t="s">
        <v>306</v>
      </c>
      <c r="B20" s="145" t="s">
        <v>63</v>
      </c>
      <c r="C20" s="145">
        <v>31003</v>
      </c>
      <c r="D20" s="175">
        <v>43427</v>
      </c>
      <c r="E20" s="150" t="s">
        <v>259</v>
      </c>
      <c r="F20" s="178">
        <v>3411492</v>
      </c>
    </row>
    <row r="21" spans="1:6" ht="32.25" customHeight="1">
      <c r="A21" s="150" t="s">
        <v>306</v>
      </c>
      <c r="B21" s="145" t="s">
        <v>60</v>
      </c>
      <c r="C21" s="145">
        <v>31170</v>
      </c>
      <c r="D21" s="175">
        <v>43427</v>
      </c>
      <c r="E21" s="150" t="s">
        <v>259</v>
      </c>
      <c r="F21" s="178">
        <v>2376210</v>
      </c>
    </row>
    <row r="22" spans="1:6" ht="32.25" customHeight="1">
      <c r="A22" s="150" t="s">
        <v>306</v>
      </c>
      <c r="B22" s="145" t="s">
        <v>60</v>
      </c>
      <c r="C22" s="145">
        <v>31170</v>
      </c>
      <c r="D22" s="175">
        <v>43427</v>
      </c>
      <c r="E22" s="150" t="s">
        <v>259</v>
      </c>
      <c r="F22" s="178">
        <v>4961629</v>
      </c>
    </row>
    <row r="23" spans="1:6" ht="32.25" customHeight="1">
      <c r="A23" s="150" t="s">
        <v>306</v>
      </c>
      <c r="B23" s="145" t="s">
        <v>62</v>
      </c>
      <c r="C23" s="145">
        <v>31327</v>
      </c>
      <c r="D23" s="175">
        <v>43427</v>
      </c>
      <c r="E23" s="150" t="s">
        <v>259</v>
      </c>
      <c r="F23" s="178">
        <v>53550</v>
      </c>
    </row>
    <row r="24" spans="1:6" ht="32.25" customHeight="1">
      <c r="A24" s="150" t="s">
        <v>306</v>
      </c>
      <c r="B24" s="145" t="s">
        <v>60</v>
      </c>
      <c r="C24" s="145">
        <v>30703</v>
      </c>
      <c r="D24" s="175">
        <v>43427</v>
      </c>
      <c r="E24" s="150" t="s">
        <v>259</v>
      </c>
      <c r="F24" s="178">
        <v>2799140</v>
      </c>
    </row>
    <row r="25" spans="1:6" ht="32.25" customHeight="1">
      <c r="A25" s="150" t="s">
        <v>306</v>
      </c>
      <c r="B25" s="145" t="s">
        <v>60</v>
      </c>
      <c r="C25" s="145">
        <v>31170</v>
      </c>
      <c r="D25" s="175">
        <v>43427</v>
      </c>
      <c r="E25" s="150" t="s">
        <v>259</v>
      </c>
      <c r="F25" s="178">
        <v>3208855</v>
      </c>
    </row>
    <row r="26" spans="1:6" ht="32.25" customHeight="1">
      <c r="A26" s="150" t="s">
        <v>307</v>
      </c>
      <c r="B26" s="145" t="s">
        <v>59</v>
      </c>
      <c r="C26" s="145">
        <v>31579</v>
      </c>
      <c r="D26" s="175">
        <v>43488</v>
      </c>
      <c r="E26" s="150" t="s">
        <v>259</v>
      </c>
      <c r="F26" s="178">
        <v>438200</v>
      </c>
    </row>
    <row r="27" spans="1:6" ht="32.25" customHeight="1">
      <c r="A27" s="150" t="s">
        <v>307</v>
      </c>
      <c r="B27" s="145" t="s">
        <v>60</v>
      </c>
      <c r="C27" s="145">
        <v>31614</v>
      </c>
      <c r="D27" s="175">
        <v>43488</v>
      </c>
      <c r="E27" s="150" t="s">
        <v>259</v>
      </c>
      <c r="F27" s="178">
        <v>298091</v>
      </c>
    </row>
    <row r="28" spans="1:6" ht="32.25" customHeight="1">
      <c r="A28" s="150" t="s">
        <v>307</v>
      </c>
      <c r="B28" s="145" t="s">
        <v>60</v>
      </c>
      <c r="C28" s="145">
        <v>31629</v>
      </c>
      <c r="D28" s="175">
        <v>43488</v>
      </c>
      <c r="E28" s="150" t="s">
        <v>259</v>
      </c>
      <c r="F28" s="178">
        <v>1632204</v>
      </c>
    </row>
    <row r="29" spans="1:6" ht="32.25" customHeight="1">
      <c r="A29" s="150" t="s">
        <v>307</v>
      </c>
      <c r="B29" s="145" t="s">
        <v>63</v>
      </c>
      <c r="C29" s="145">
        <v>31638</v>
      </c>
      <c r="D29" s="175">
        <v>43488</v>
      </c>
      <c r="E29" s="150" t="s">
        <v>259</v>
      </c>
      <c r="F29" s="178">
        <v>770161</v>
      </c>
    </row>
    <row r="30" spans="1:6" ht="32.25" customHeight="1">
      <c r="A30" s="150" t="s">
        <v>307</v>
      </c>
      <c r="B30" s="145" t="s">
        <v>47</v>
      </c>
      <c r="C30" s="145">
        <v>31653</v>
      </c>
      <c r="D30" s="175">
        <v>43488</v>
      </c>
      <c r="E30" s="150" t="s">
        <v>259</v>
      </c>
      <c r="F30" s="178">
        <v>1038810</v>
      </c>
    </row>
    <row r="31" spans="1:6" ht="32.25" customHeight="1">
      <c r="A31" s="150" t="s">
        <v>307</v>
      </c>
      <c r="B31" s="145" t="s">
        <v>47</v>
      </c>
      <c r="C31" s="145">
        <v>31653</v>
      </c>
      <c r="D31" s="175">
        <v>43488</v>
      </c>
      <c r="E31" s="150" t="s">
        <v>259</v>
      </c>
      <c r="F31" s="178">
        <v>249900</v>
      </c>
    </row>
    <row r="32" spans="1:6" ht="32.25" customHeight="1">
      <c r="A32" s="150" t="s">
        <v>307</v>
      </c>
      <c r="B32" s="145" t="s">
        <v>61</v>
      </c>
      <c r="C32" s="145">
        <v>31947</v>
      </c>
      <c r="D32" s="175">
        <v>43488</v>
      </c>
      <c r="E32" s="150" t="s">
        <v>259</v>
      </c>
      <c r="F32" s="178">
        <v>3167613</v>
      </c>
    </row>
    <row r="33" spans="1:6" ht="32.25" customHeight="1">
      <c r="A33" s="150" t="s">
        <v>307</v>
      </c>
      <c r="B33" s="145" t="s">
        <v>47</v>
      </c>
      <c r="C33" s="145">
        <v>31977</v>
      </c>
      <c r="D33" s="175">
        <v>43488</v>
      </c>
      <c r="E33" s="150" t="s">
        <v>259</v>
      </c>
      <c r="F33" s="178">
        <v>6044010</v>
      </c>
    </row>
    <row r="34" spans="1:6" ht="32.25" customHeight="1">
      <c r="A34" s="150" t="s">
        <v>307</v>
      </c>
      <c r="B34" s="145" t="s">
        <v>62</v>
      </c>
      <c r="C34" s="145">
        <v>32046</v>
      </c>
      <c r="D34" s="175">
        <v>43488</v>
      </c>
      <c r="E34" s="150" t="s">
        <v>259</v>
      </c>
      <c r="F34" s="178">
        <v>339809</v>
      </c>
    </row>
    <row r="35" spans="1:6" ht="32.25" customHeight="1">
      <c r="A35" s="150" t="s">
        <v>307</v>
      </c>
      <c r="B35" s="145" t="s">
        <v>59</v>
      </c>
      <c r="C35" s="145">
        <v>32075</v>
      </c>
      <c r="D35" s="175">
        <v>43792</v>
      </c>
      <c r="E35" s="150" t="s">
        <v>259</v>
      </c>
      <c r="F35" s="178">
        <v>404600</v>
      </c>
    </row>
    <row r="36" spans="1:6" ht="32.25" customHeight="1">
      <c r="A36" s="150" t="s">
        <v>307</v>
      </c>
      <c r="B36" s="145" t="s">
        <v>47</v>
      </c>
      <c r="C36" s="145">
        <v>32091</v>
      </c>
      <c r="D36" s="175">
        <v>43488</v>
      </c>
      <c r="E36" s="150" t="s">
        <v>259</v>
      </c>
      <c r="F36" s="178">
        <v>867708</v>
      </c>
    </row>
    <row r="37" spans="1:6" ht="32.25" customHeight="1">
      <c r="A37" s="150" t="s">
        <v>308</v>
      </c>
      <c r="B37" s="145" t="s">
        <v>61</v>
      </c>
      <c r="C37" s="145">
        <v>32076</v>
      </c>
      <c r="D37" s="175">
        <v>43546</v>
      </c>
      <c r="E37" s="150" t="s">
        <v>259</v>
      </c>
      <c r="F37" s="178">
        <v>325069</v>
      </c>
    </row>
    <row r="38" spans="1:6" ht="32.25" customHeight="1">
      <c r="A38" s="150" t="s">
        <v>308</v>
      </c>
      <c r="B38" s="145" t="s">
        <v>63</v>
      </c>
      <c r="C38" s="145">
        <v>32131</v>
      </c>
      <c r="D38" s="175">
        <v>43546</v>
      </c>
      <c r="E38" s="150" t="s">
        <v>259</v>
      </c>
      <c r="F38" s="178">
        <v>1479698</v>
      </c>
    </row>
    <row r="39" spans="1:6" ht="32.25" customHeight="1">
      <c r="A39" s="150" t="s">
        <v>308</v>
      </c>
      <c r="B39" s="145" t="s">
        <v>47</v>
      </c>
      <c r="C39" s="145">
        <v>32143</v>
      </c>
      <c r="D39" s="175">
        <v>43546</v>
      </c>
      <c r="E39" s="150" t="s">
        <v>259</v>
      </c>
      <c r="F39" s="178">
        <v>517650</v>
      </c>
    </row>
    <row r="40" spans="1:6" ht="32.25" customHeight="1">
      <c r="A40" s="150" t="s">
        <v>308</v>
      </c>
      <c r="B40" s="145" t="s">
        <v>49</v>
      </c>
      <c r="C40" s="145">
        <v>32157</v>
      </c>
      <c r="D40" s="175">
        <v>43546</v>
      </c>
      <c r="E40" s="150" t="s">
        <v>259</v>
      </c>
      <c r="F40" s="178">
        <v>23800</v>
      </c>
    </row>
    <row r="41" spans="1:6" ht="32.25" customHeight="1">
      <c r="A41" s="150" t="s">
        <v>308</v>
      </c>
      <c r="B41" s="145" t="s">
        <v>309</v>
      </c>
      <c r="C41" s="145">
        <v>32169</v>
      </c>
      <c r="D41" s="175">
        <v>43546</v>
      </c>
      <c r="E41" s="150" t="s">
        <v>259</v>
      </c>
      <c r="F41" s="178">
        <v>23800</v>
      </c>
    </row>
    <row r="42" spans="1:6" ht="32.25" customHeight="1">
      <c r="A42" s="150" t="s">
        <v>308</v>
      </c>
      <c r="B42" s="145" t="s">
        <v>60</v>
      </c>
      <c r="C42" s="145">
        <v>32228</v>
      </c>
      <c r="D42" s="175">
        <v>43546</v>
      </c>
      <c r="E42" s="150" t="s">
        <v>259</v>
      </c>
      <c r="F42" s="178">
        <v>464691</v>
      </c>
    </row>
    <row r="43" spans="1:6" ht="32.25" customHeight="1">
      <c r="A43" s="150" t="s">
        <v>308</v>
      </c>
      <c r="B43" s="145" t="s">
        <v>61</v>
      </c>
      <c r="C43" s="145">
        <v>32247</v>
      </c>
      <c r="D43" s="175">
        <v>43546</v>
      </c>
      <c r="E43" s="150" t="s">
        <v>259</v>
      </c>
      <c r="F43" s="178">
        <v>148750</v>
      </c>
    </row>
    <row r="44" spans="1:6" ht="32.25" customHeight="1">
      <c r="A44" s="150" t="s">
        <v>308</v>
      </c>
      <c r="B44" s="145" t="s">
        <v>47</v>
      </c>
      <c r="C44" s="145">
        <v>32269</v>
      </c>
      <c r="D44" s="175">
        <v>43546</v>
      </c>
      <c r="E44" s="150" t="s">
        <v>259</v>
      </c>
      <c r="F44" s="178">
        <v>95200</v>
      </c>
    </row>
    <row r="45" spans="1:6" ht="32.25" customHeight="1">
      <c r="A45" s="150" t="s">
        <v>308</v>
      </c>
      <c r="B45" s="145" t="s">
        <v>304</v>
      </c>
      <c r="C45" s="145">
        <v>32293</v>
      </c>
      <c r="D45" s="175">
        <v>43546</v>
      </c>
      <c r="E45" s="150" t="s">
        <v>259</v>
      </c>
      <c r="F45" s="178">
        <v>416500</v>
      </c>
    </row>
    <row r="46" spans="1:6" ht="32.25" customHeight="1">
      <c r="A46" s="150" t="s">
        <v>308</v>
      </c>
      <c r="B46" s="145" t="s">
        <v>63</v>
      </c>
      <c r="C46" s="145">
        <v>32155</v>
      </c>
      <c r="D46" s="175">
        <v>43546</v>
      </c>
      <c r="E46" s="150" t="s">
        <v>259</v>
      </c>
      <c r="F46" s="178">
        <v>3614519</v>
      </c>
    </row>
    <row r="47" spans="1:6" ht="32.25" customHeight="1">
      <c r="A47" s="150" t="s">
        <v>308</v>
      </c>
      <c r="B47" s="145" t="s">
        <v>310</v>
      </c>
      <c r="C47" s="145">
        <v>32226</v>
      </c>
      <c r="D47" s="175">
        <v>43546</v>
      </c>
      <c r="E47" s="150" t="s">
        <v>259</v>
      </c>
      <c r="F47" s="178">
        <v>3789728</v>
      </c>
    </row>
    <row r="48" spans="1:6" ht="32.25" customHeight="1">
      <c r="A48" s="150" t="s">
        <v>308</v>
      </c>
      <c r="B48" s="145" t="s">
        <v>310</v>
      </c>
      <c r="C48" s="145">
        <v>32226</v>
      </c>
      <c r="D48" s="175">
        <v>43546</v>
      </c>
      <c r="E48" s="150" t="s">
        <v>259</v>
      </c>
      <c r="F48" s="178">
        <v>3751944</v>
      </c>
    </row>
    <row r="49" spans="1:6" ht="32.25" customHeight="1">
      <c r="A49" s="150" t="s">
        <v>308</v>
      </c>
      <c r="B49" s="145" t="s">
        <v>62</v>
      </c>
      <c r="C49" s="145">
        <v>32276</v>
      </c>
      <c r="D49" s="175">
        <v>43546</v>
      </c>
      <c r="E49" s="150" t="s">
        <v>259</v>
      </c>
      <c r="F49" s="178">
        <v>803400</v>
      </c>
    </row>
    <row r="50" spans="1:6" ht="32.25" customHeight="1">
      <c r="A50" s="150" t="s">
        <v>308</v>
      </c>
      <c r="B50" s="145" t="s">
        <v>47</v>
      </c>
      <c r="C50" s="145">
        <v>32305</v>
      </c>
      <c r="D50" s="175">
        <v>43546</v>
      </c>
      <c r="E50" s="150" t="s">
        <v>259</v>
      </c>
      <c r="F50" s="178">
        <v>821100</v>
      </c>
    </row>
    <row r="51" spans="1:6" ht="32.25" customHeight="1">
      <c r="A51" s="150" t="s">
        <v>308</v>
      </c>
      <c r="B51" s="145" t="s">
        <v>47</v>
      </c>
      <c r="C51" s="145">
        <v>32356</v>
      </c>
      <c r="D51" s="175">
        <v>43546</v>
      </c>
      <c r="E51" s="150" t="s">
        <v>259</v>
      </c>
      <c r="F51" s="178">
        <v>116620</v>
      </c>
    </row>
    <row r="52" spans="1:6" ht="32.25" customHeight="1">
      <c r="A52" s="150" t="s">
        <v>308</v>
      </c>
      <c r="B52" s="145" t="s">
        <v>49</v>
      </c>
      <c r="C52" s="145">
        <v>32145</v>
      </c>
      <c r="D52" s="175">
        <v>43546</v>
      </c>
      <c r="E52" s="150" t="s">
        <v>259</v>
      </c>
      <c r="F52" s="178">
        <v>263942</v>
      </c>
    </row>
    <row r="53" spans="1:6" ht="32.25" customHeight="1">
      <c r="A53" s="150" t="s">
        <v>308</v>
      </c>
      <c r="B53" s="145" t="s">
        <v>63</v>
      </c>
      <c r="C53" s="145">
        <v>32399</v>
      </c>
      <c r="D53" s="175">
        <v>43546</v>
      </c>
      <c r="E53" s="150" t="s">
        <v>259</v>
      </c>
      <c r="F53" s="178">
        <v>280614</v>
      </c>
    </row>
    <row r="54" spans="1:6" ht="32.25" customHeight="1">
      <c r="A54" s="150" t="s">
        <v>308</v>
      </c>
      <c r="B54" s="145" t="s">
        <v>47</v>
      </c>
      <c r="C54" s="145">
        <v>32438</v>
      </c>
      <c r="D54" s="175">
        <v>43546</v>
      </c>
      <c r="E54" s="150" t="s">
        <v>259</v>
      </c>
      <c r="F54" s="178">
        <v>67830</v>
      </c>
    </row>
    <row r="55" spans="1:6" ht="32.25" customHeight="1">
      <c r="A55" s="150" t="s">
        <v>311</v>
      </c>
      <c r="B55" s="145" t="s">
        <v>47</v>
      </c>
      <c r="C55" s="145">
        <v>32663</v>
      </c>
      <c r="D55" s="175">
        <v>43574</v>
      </c>
      <c r="E55" s="150" t="s">
        <v>259</v>
      </c>
      <c r="F55" s="178">
        <v>380800</v>
      </c>
    </row>
    <row r="56" spans="1:6" ht="32.25" customHeight="1">
      <c r="A56" s="150" t="s">
        <v>311</v>
      </c>
      <c r="B56" s="145" t="s">
        <v>47</v>
      </c>
      <c r="C56" s="145">
        <v>32685</v>
      </c>
      <c r="D56" s="175">
        <v>43574</v>
      </c>
      <c r="E56" s="150" t="s">
        <v>259</v>
      </c>
      <c r="F56" s="178">
        <v>71400</v>
      </c>
    </row>
    <row r="57" spans="1:6" ht="32.25" customHeight="1">
      <c r="A57" s="150" t="s">
        <v>311</v>
      </c>
      <c r="B57" s="145" t="s">
        <v>61</v>
      </c>
      <c r="C57" s="145">
        <v>32649</v>
      </c>
      <c r="D57" s="175">
        <v>43574</v>
      </c>
      <c r="E57" s="150" t="s">
        <v>259</v>
      </c>
      <c r="F57" s="178">
        <v>2598774</v>
      </c>
    </row>
    <row r="58" spans="1:6" ht="32.25" customHeight="1">
      <c r="A58" s="150" t="s">
        <v>311</v>
      </c>
      <c r="B58" s="145" t="s">
        <v>62</v>
      </c>
      <c r="C58" s="145">
        <v>32426</v>
      </c>
      <c r="D58" s="175">
        <v>43574</v>
      </c>
      <c r="E58" s="150" t="s">
        <v>259</v>
      </c>
      <c r="F58" s="178">
        <v>3086289</v>
      </c>
    </row>
    <row r="59" spans="1:6" ht="32.25" customHeight="1">
      <c r="A59" s="150" t="s">
        <v>311</v>
      </c>
      <c r="B59" s="145" t="s">
        <v>60</v>
      </c>
      <c r="C59" s="145">
        <v>32558</v>
      </c>
      <c r="D59" s="175">
        <v>43574</v>
      </c>
      <c r="E59" s="150" t="s">
        <v>259</v>
      </c>
      <c r="F59" s="178">
        <v>4562460</v>
      </c>
    </row>
    <row r="60" spans="1:6" ht="32.25" customHeight="1">
      <c r="A60" s="180">
        <v>43728</v>
      </c>
      <c r="B60" s="145" t="s">
        <v>258</v>
      </c>
      <c r="C60" s="145">
        <v>20405</v>
      </c>
      <c r="D60" s="175" t="s">
        <v>40</v>
      </c>
      <c r="E60" s="150" t="s">
        <v>259</v>
      </c>
      <c r="F60" s="178">
        <v>4373177</v>
      </c>
    </row>
    <row r="61" spans="1:6" ht="32.25" customHeight="1">
      <c r="A61" s="180">
        <v>43747</v>
      </c>
      <c r="B61" s="145" t="s">
        <v>260</v>
      </c>
      <c r="C61" s="145">
        <v>20416</v>
      </c>
      <c r="D61" s="175" t="s">
        <v>41</v>
      </c>
      <c r="E61" s="150" t="s">
        <v>259</v>
      </c>
      <c r="F61" s="178">
        <v>636978</v>
      </c>
    </row>
    <row r="62" spans="1:6" ht="32.25" customHeight="1">
      <c r="A62" s="179">
        <v>43733</v>
      </c>
      <c r="B62" s="145" t="s">
        <v>261</v>
      </c>
      <c r="C62" s="145">
        <v>20408</v>
      </c>
      <c r="D62" s="175" t="s">
        <v>40</v>
      </c>
      <c r="E62" s="150" t="s">
        <v>259</v>
      </c>
      <c r="F62" s="178">
        <v>5962904</v>
      </c>
    </row>
    <row r="63" spans="1:6" ht="32.25" customHeight="1">
      <c r="A63" s="179">
        <v>43783</v>
      </c>
      <c r="B63" s="145" t="s">
        <v>262</v>
      </c>
      <c r="C63" s="145">
        <v>20756</v>
      </c>
      <c r="D63" s="175" t="s">
        <v>42</v>
      </c>
      <c r="E63" s="150" t="s">
        <v>259</v>
      </c>
      <c r="F63" s="178">
        <v>1095557</v>
      </c>
    </row>
    <row r="64" spans="1:6" ht="32.25" customHeight="1">
      <c r="A64" s="179">
        <v>43759</v>
      </c>
      <c r="B64" s="145" t="s">
        <v>263</v>
      </c>
      <c r="C64" s="145">
        <v>20421</v>
      </c>
      <c r="D64" s="175" t="s">
        <v>41</v>
      </c>
      <c r="E64" s="150" t="s">
        <v>259</v>
      </c>
      <c r="F64" s="178">
        <v>612047</v>
      </c>
    </row>
    <row r="65" spans="1:6" ht="32.25" customHeight="1">
      <c r="A65" s="180">
        <v>43736</v>
      </c>
      <c r="B65" s="145" t="s">
        <v>258</v>
      </c>
      <c r="C65" s="145">
        <v>20410</v>
      </c>
      <c r="D65" s="175" t="s">
        <v>40</v>
      </c>
      <c r="E65" s="150" t="s">
        <v>259</v>
      </c>
      <c r="F65" s="178">
        <v>425000</v>
      </c>
    </row>
    <row r="66" spans="1:6" ht="32.25" customHeight="1">
      <c r="A66" s="179">
        <v>43763</v>
      </c>
      <c r="B66" s="145" t="s">
        <v>264</v>
      </c>
      <c r="C66" s="145">
        <v>20426</v>
      </c>
      <c r="D66" s="175" t="s">
        <v>41</v>
      </c>
      <c r="E66" s="150" t="s">
        <v>259</v>
      </c>
      <c r="F66" s="178">
        <v>5946376</v>
      </c>
    </row>
    <row r="67" spans="1:6" ht="32.25" customHeight="1">
      <c r="A67" s="179">
        <v>43758</v>
      </c>
      <c r="B67" s="145" t="s">
        <v>262</v>
      </c>
      <c r="C67" s="145">
        <v>20419</v>
      </c>
      <c r="D67" s="175" t="s">
        <v>42</v>
      </c>
      <c r="E67" s="150" t="s">
        <v>259</v>
      </c>
      <c r="F67" s="178">
        <v>280000</v>
      </c>
    </row>
    <row r="68" spans="1:6" ht="32.25" customHeight="1">
      <c r="A68" s="179">
        <v>43783</v>
      </c>
      <c r="B68" s="145" t="s">
        <v>60</v>
      </c>
      <c r="C68" s="145">
        <v>20759</v>
      </c>
      <c r="D68" s="175" t="s">
        <v>40</v>
      </c>
      <c r="E68" s="150" t="s">
        <v>259</v>
      </c>
      <c r="F68" s="178">
        <v>240168</v>
      </c>
    </row>
    <row r="69" spans="1:6" ht="32.25" customHeight="1">
      <c r="A69" s="179">
        <v>43762</v>
      </c>
      <c r="B69" s="145" t="s">
        <v>265</v>
      </c>
      <c r="C69" s="145">
        <v>20423</v>
      </c>
      <c r="D69" s="175" t="s">
        <v>41</v>
      </c>
      <c r="E69" s="150" t="s">
        <v>259</v>
      </c>
      <c r="F69" s="178">
        <v>196000</v>
      </c>
    </row>
    <row r="70" spans="1:6" ht="32.25" customHeight="1">
      <c r="A70" s="179">
        <v>43803</v>
      </c>
      <c r="B70" s="145" t="s">
        <v>47</v>
      </c>
      <c r="C70" s="145">
        <v>20752</v>
      </c>
      <c r="D70" s="175" t="s">
        <v>43</v>
      </c>
      <c r="E70" s="150" t="s">
        <v>259</v>
      </c>
      <c r="F70" s="178">
        <v>2258546</v>
      </c>
    </row>
    <row r="71" spans="1:6" ht="32.25" customHeight="1">
      <c r="A71" s="150"/>
      <c r="B71" s="145"/>
      <c r="C71" s="145"/>
      <c r="D71" s="175"/>
      <c r="E71" s="150"/>
      <c r="F71" s="178"/>
    </row>
    <row r="72" spans="1:6" ht="32.25" customHeight="1">
      <c r="A72" s="150"/>
      <c r="B72" s="145"/>
      <c r="C72" s="145"/>
      <c r="D72" s="175"/>
      <c r="E72" s="150"/>
      <c r="F72" s="178"/>
    </row>
    <row r="73" spans="1:6" ht="32.25" customHeight="1">
      <c r="A73" s="150"/>
      <c r="B73" s="145"/>
      <c r="C73" s="145"/>
      <c r="D73" s="175"/>
      <c r="E73" s="150"/>
      <c r="F73" s="178"/>
    </row>
    <row r="74" spans="1:6" ht="32.25" customHeight="1">
      <c r="A74" s="150"/>
      <c r="B74" s="145"/>
      <c r="C74" s="145"/>
      <c r="D74" s="175"/>
      <c r="E74" s="150"/>
      <c r="F74" s="178"/>
    </row>
    <row r="75" spans="1:6" ht="32.25" customHeight="1">
      <c r="A75" s="150"/>
      <c r="B75" s="145"/>
      <c r="C75" s="145"/>
      <c r="D75" s="175"/>
      <c r="E75" s="150"/>
      <c r="F75" s="178"/>
    </row>
    <row r="76" spans="1:6" ht="32.25" customHeight="1">
      <c r="A76" s="150"/>
      <c r="B76" s="145"/>
      <c r="C76" s="145"/>
      <c r="D76" s="175"/>
      <c r="E76" s="150"/>
      <c r="F76" s="178"/>
    </row>
    <row r="77" spans="1:6" ht="32.25" customHeight="1">
      <c r="A77" s="150"/>
      <c r="B77" s="145"/>
      <c r="C77" s="145"/>
      <c r="D77" s="175"/>
      <c r="E77" s="150"/>
      <c r="F77" s="178"/>
    </row>
    <row r="78" spans="1:6" ht="32.25" customHeight="1">
      <c r="A78" s="150"/>
      <c r="B78" s="145"/>
      <c r="C78" s="145"/>
      <c r="D78" s="175"/>
      <c r="E78" s="150"/>
      <c r="F78" s="178"/>
    </row>
    <row r="79" spans="1:6" ht="32.25" customHeight="1">
      <c r="A79" s="150"/>
      <c r="B79" s="145"/>
      <c r="C79" s="145"/>
      <c r="D79" s="175"/>
      <c r="E79" s="150"/>
      <c r="F79" s="178"/>
    </row>
    <row r="80" spans="1:6" ht="32.25" customHeight="1">
      <c r="A80" s="150"/>
      <c r="B80" s="145"/>
      <c r="C80" s="145"/>
      <c r="D80" s="175"/>
      <c r="E80" s="150"/>
      <c r="F80" s="178"/>
    </row>
    <row r="81" spans="1:6" ht="32.25" customHeight="1">
      <c r="A81" s="150"/>
      <c r="B81" s="145"/>
      <c r="C81" s="145"/>
      <c r="D81" s="175"/>
      <c r="E81" s="150"/>
      <c r="F81" s="178"/>
    </row>
    <row r="82" spans="1:6" ht="32.25" customHeight="1">
      <c r="A82" s="150"/>
      <c r="B82" s="145"/>
      <c r="C82" s="145"/>
      <c r="D82" s="175"/>
      <c r="E82" s="150"/>
      <c r="F82" s="178"/>
    </row>
    <row r="83" spans="1:6" ht="32.25" customHeight="1">
      <c r="A83" s="150"/>
      <c r="B83" s="145"/>
      <c r="C83" s="145"/>
      <c r="D83" s="175"/>
      <c r="E83" s="150"/>
      <c r="F83" s="178"/>
    </row>
    <row r="84" spans="1:6" ht="32.25" customHeight="1">
      <c r="A84" s="150"/>
      <c r="B84" s="145"/>
      <c r="C84" s="145"/>
      <c r="D84" s="175"/>
      <c r="E84" s="150"/>
      <c r="F84" s="178"/>
    </row>
    <row r="85" spans="1:6" ht="48" customHeight="1">
      <c r="A85" s="265" t="s">
        <v>312</v>
      </c>
      <c r="B85" s="265"/>
      <c r="C85" s="265"/>
      <c r="D85" s="265"/>
      <c r="E85" s="265"/>
      <c r="F85" s="265"/>
    </row>
    <row r="86" spans="1:6" ht="32.25" customHeight="1">
      <c r="A86" s="265" t="s">
        <v>313</v>
      </c>
      <c r="B86" s="265"/>
      <c r="C86" s="265"/>
      <c r="D86" s="265"/>
      <c r="E86" s="265"/>
      <c r="F86" s="265"/>
    </row>
    <row r="87" spans="1:6" ht="32.25" customHeight="1">
      <c r="A87" s="265" t="s">
        <v>314</v>
      </c>
      <c r="B87" s="265"/>
      <c r="C87" s="265"/>
      <c r="D87" s="265"/>
      <c r="E87" s="265"/>
      <c r="F87" s="265"/>
    </row>
    <row r="88" spans="1:6" ht="32.25" customHeight="1">
      <c r="A88" s="150"/>
      <c r="B88" s="145"/>
      <c r="C88" s="145"/>
      <c r="D88" s="175"/>
      <c r="E88" s="150"/>
      <c r="F88" s="178"/>
    </row>
    <row r="89" spans="1:6" ht="32.25" customHeight="1">
      <c r="A89" s="150"/>
      <c r="B89" s="145"/>
      <c r="C89" s="145"/>
      <c r="D89" s="175"/>
      <c r="E89" s="150"/>
      <c r="F89" s="178"/>
    </row>
    <row r="90" spans="1:6" ht="32.25" customHeight="1">
      <c r="A90" s="150"/>
      <c r="B90" s="145"/>
      <c r="C90" s="145"/>
      <c r="D90" s="175"/>
      <c r="E90" s="150"/>
      <c r="F90" s="178"/>
    </row>
    <row r="91" spans="1:6" ht="32.25" customHeight="1">
      <c r="A91" s="150"/>
      <c r="B91" s="145"/>
      <c r="C91" s="145"/>
      <c r="D91" s="175"/>
      <c r="E91" s="150"/>
      <c r="F91" s="178"/>
    </row>
    <row r="92" spans="1:6" ht="32.25" customHeight="1">
      <c r="A92" s="150"/>
      <c r="B92" s="145"/>
      <c r="C92" s="145"/>
      <c r="D92" s="175"/>
      <c r="E92" s="150"/>
      <c r="F92" s="178"/>
    </row>
    <row r="93" spans="1:6" ht="32.25" customHeight="1">
      <c r="A93" s="150"/>
      <c r="B93" s="145"/>
      <c r="C93" s="145"/>
      <c r="D93" s="175"/>
      <c r="E93" s="150"/>
      <c r="F93" s="178"/>
    </row>
    <row r="94" spans="1:6" ht="32.25" customHeight="1">
      <c r="A94" s="150"/>
      <c r="B94" s="145"/>
      <c r="C94" s="145"/>
      <c r="D94" s="175"/>
      <c r="E94" s="150"/>
      <c r="F94" s="178"/>
    </row>
    <row r="95" spans="1:6">
      <c r="B95" s="43"/>
      <c r="C95" s="43"/>
      <c r="D95" s="43"/>
    </row>
    <row r="96" spans="1:6">
      <c r="B96" s="43"/>
      <c r="D96" s="43"/>
    </row>
    <row r="97" spans="2:4">
      <c r="B97" s="43"/>
      <c r="D97" s="43"/>
    </row>
    <row r="98" spans="2:4">
      <c r="B98" s="43"/>
      <c r="D98" s="43"/>
    </row>
    <row r="99" spans="2:4">
      <c r="B99" s="43"/>
      <c r="D99" s="43"/>
    </row>
    <row r="100" spans="2:4">
      <c r="D100" s="43"/>
    </row>
    <row r="101" spans="2:4">
      <c r="D101" s="43"/>
    </row>
    <row r="102" spans="2:4">
      <c r="D102" s="43"/>
    </row>
    <row r="103" spans="2:4">
      <c r="D103" s="43"/>
    </row>
    <row r="104" spans="2:4">
      <c r="D104" s="43"/>
    </row>
    <row r="105" spans="2:4">
      <c r="D105" s="43"/>
    </row>
    <row r="106" spans="2:4">
      <c r="D106" s="43"/>
    </row>
    <row r="107" spans="2:4">
      <c r="D107" s="43"/>
    </row>
    <row r="108" spans="2:4">
      <c r="D108" s="43"/>
    </row>
    <row r="109" spans="2:4">
      <c r="D109" s="43"/>
    </row>
    <row r="110" spans="2:4">
      <c r="D110" s="43"/>
    </row>
    <row r="111" spans="2:4">
      <c r="D111" s="43"/>
    </row>
    <row r="112" spans="2:4">
      <c r="D112" s="43"/>
    </row>
    <row r="113" spans="4:4">
      <c r="D113" s="43"/>
    </row>
    <row r="114" spans="4:4">
      <c r="D114" s="43"/>
    </row>
    <row r="115" spans="4:4">
      <c r="D115" s="43"/>
    </row>
    <row r="116" spans="4:4">
      <c r="D116" s="43"/>
    </row>
  </sheetData>
  <mergeCells count="3">
    <mergeCell ref="A85:F85"/>
    <mergeCell ref="A86:F86"/>
    <mergeCell ref="A87:F87"/>
  </mergeCells>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zoomScale="70" zoomScaleNormal="70" workbookViewId="0">
      <selection activeCell="B16" sqref="B16"/>
    </sheetView>
  </sheetViews>
  <sheetFormatPr baseColWidth="10" defaultRowHeight="15"/>
  <cols>
    <col min="1" max="1" width="43.5703125" customWidth="1"/>
    <col min="2" max="2" width="21.85546875" customWidth="1"/>
    <col min="3" max="3" width="37" customWidth="1"/>
    <col min="4" max="4" width="26.85546875" customWidth="1"/>
    <col min="5" max="5" width="26.7109375" customWidth="1"/>
    <col min="6" max="6" width="33.28515625" style="151" customWidth="1"/>
    <col min="7" max="7" width="18.5703125" customWidth="1"/>
    <col min="9" max="9" width="16.28515625" customWidth="1"/>
  </cols>
  <sheetData>
    <row r="1" spans="1:8" ht="45.75" customHeight="1">
      <c r="A1" s="145" t="s">
        <v>252</v>
      </c>
      <c r="B1" s="145" t="s">
        <v>253</v>
      </c>
      <c r="C1" s="145" t="s">
        <v>254</v>
      </c>
      <c r="D1" s="145" t="s">
        <v>255</v>
      </c>
      <c r="E1" s="145" t="s">
        <v>256</v>
      </c>
      <c r="F1" s="183" t="s">
        <v>257</v>
      </c>
    </row>
    <row r="2" spans="1:8" ht="32.25" customHeight="1">
      <c r="A2" s="182" t="s">
        <v>37</v>
      </c>
      <c r="B2" s="186" t="s">
        <v>63</v>
      </c>
      <c r="C2" s="186" t="s">
        <v>315</v>
      </c>
      <c r="D2" s="185">
        <v>43992</v>
      </c>
      <c r="E2" s="147" t="s">
        <v>259</v>
      </c>
      <c r="F2" s="184">
        <v>563240</v>
      </c>
      <c r="G2" s="146"/>
      <c r="H2" s="146"/>
    </row>
    <row r="3" spans="1:8" ht="32.25" customHeight="1">
      <c r="A3" s="181" t="s">
        <v>37</v>
      </c>
      <c r="B3" s="186" t="s">
        <v>48</v>
      </c>
      <c r="C3" s="186" t="s">
        <v>316</v>
      </c>
      <c r="D3" s="185">
        <v>44006</v>
      </c>
      <c r="E3" s="147" t="s">
        <v>259</v>
      </c>
      <c r="F3" s="184">
        <v>881755</v>
      </c>
    </row>
    <row r="4" spans="1:8" ht="32.25" customHeight="1">
      <c r="A4" s="182" t="s">
        <v>37</v>
      </c>
      <c r="B4" s="186" t="s">
        <v>49</v>
      </c>
      <c r="C4" s="186" t="s">
        <v>317</v>
      </c>
      <c r="D4" s="185">
        <v>43988</v>
      </c>
      <c r="E4" s="147" t="s">
        <v>259</v>
      </c>
      <c r="F4" s="184">
        <v>1070524</v>
      </c>
    </row>
    <row r="5" spans="1:8" ht="32.25" customHeight="1">
      <c r="A5" s="181" t="s">
        <v>37</v>
      </c>
      <c r="B5" s="186" t="s">
        <v>50</v>
      </c>
      <c r="C5" s="186" t="s">
        <v>318</v>
      </c>
      <c r="D5" s="185">
        <v>43991</v>
      </c>
      <c r="E5" s="147" t="s">
        <v>259</v>
      </c>
      <c r="F5" s="184">
        <v>507244</v>
      </c>
    </row>
    <row r="6" spans="1:8" ht="32.25" customHeight="1">
      <c r="A6" s="182" t="s">
        <v>9</v>
      </c>
      <c r="B6" s="186" t="s">
        <v>59</v>
      </c>
      <c r="C6" s="186" t="s">
        <v>319</v>
      </c>
      <c r="D6" s="187">
        <v>43869</v>
      </c>
      <c r="E6" s="147" t="s">
        <v>259</v>
      </c>
      <c r="F6" s="184">
        <v>6130000</v>
      </c>
    </row>
    <row r="7" spans="1:8" ht="32.25" customHeight="1">
      <c r="A7" s="181" t="s">
        <v>34</v>
      </c>
      <c r="B7" s="186" t="s">
        <v>61</v>
      </c>
      <c r="C7" s="186" t="s">
        <v>320</v>
      </c>
      <c r="D7" s="186" t="s">
        <v>34</v>
      </c>
      <c r="E7" s="147" t="s">
        <v>259</v>
      </c>
      <c r="F7" s="184">
        <v>2013208</v>
      </c>
    </row>
    <row r="8" spans="1:8" ht="32.25" customHeight="1">
      <c r="A8" s="182" t="s">
        <v>34</v>
      </c>
      <c r="B8" s="186" t="s">
        <v>321</v>
      </c>
      <c r="C8" s="186" t="s">
        <v>322</v>
      </c>
      <c r="D8" s="186" t="s">
        <v>34</v>
      </c>
      <c r="E8" s="147" t="s">
        <v>259</v>
      </c>
      <c r="F8" s="184">
        <v>1777170</v>
      </c>
    </row>
    <row r="9" spans="1:8">
      <c r="B9" s="43"/>
      <c r="D9" s="43"/>
    </row>
    <row r="10" spans="1:8">
      <c r="B10" s="43"/>
      <c r="D10" s="43"/>
    </row>
    <row r="11" spans="1:8">
      <c r="D11" s="43"/>
    </row>
    <row r="12" spans="1:8">
      <c r="D12" s="43"/>
    </row>
    <row r="13" spans="1:8">
      <c r="D13" s="43"/>
    </row>
    <row r="14" spans="1:8">
      <c r="D14" s="43"/>
    </row>
    <row r="15" spans="1:8">
      <c r="D15" s="43"/>
    </row>
    <row r="16" spans="1:8">
      <c r="D16" s="43"/>
    </row>
    <row r="17" spans="4:4">
      <c r="D17" s="43"/>
    </row>
    <row r="18" spans="4:4">
      <c r="D18" s="43"/>
    </row>
    <row r="19" spans="4:4">
      <c r="D19" s="43"/>
    </row>
    <row r="20" spans="4:4">
      <c r="D20" s="43"/>
    </row>
  </sheetData>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B1" workbookViewId="0">
      <selection activeCell="J20" sqref="J20"/>
    </sheetView>
  </sheetViews>
  <sheetFormatPr baseColWidth="10" defaultColWidth="11" defaultRowHeight="15.75"/>
  <cols>
    <col min="1" max="1" width="4" style="39" hidden="1" customWidth="1"/>
    <col min="2" max="2" width="34.7109375" style="39" customWidth="1"/>
    <col min="3" max="6" width="11" style="39"/>
    <col min="7" max="7" width="12.85546875" style="39" customWidth="1"/>
    <col min="8" max="8" width="23.42578125" style="39" customWidth="1"/>
    <col min="9" max="9" width="16.140625" style="39" customWidth="1"/>
    <col min="10" max="10" width="20.5703125" style="39" customWidth="1"/>
    <col min="11" max="11" width="19.140625" style="39" customWidth="1"/>
    <col min="12" max="12" width="11.85546875" style="39" bestFit="1" customWidth="1"/>
    <col min="13" max="13" width="14.42578125" style="39" bestFit="1" customWidth="1"/>
    <col min="14" max="16384" width="11" style="39"/>
  </cols>
  <sheetData>
    <row r="1" spans="2:13" ht="26.25" customHeight="1"/>
    <row r="2" spans="2:13" ht="16.5" thickBot="1">
      <c r="B2" s="228" t="s">
        <v>297</v>
      </c>
      <c r="C2" s="229"/>
      <c r="D2" s="229"/>
      <c r="E2" s="229"/>
      <c r="F2" s="229"/>
      <c r="G2" s="229"/>
      <c r="H2" s="229"/>
      <c r="I2" s="229"/>
    </row>
    <row r="3" spans="2:13" s="65" customFormat="1" ht="26.25" thickBot="1">
      <c r="B3" s="63" t="s">
        <v>131</v>
      </c>
      <c r="C3" s="63" t="s">
        <v>132</v>
      </c>
      <c r="D3" s="63" t="s">
        <v>133</v>
      </c>
      <c r="E3" s="63" t="s">
        <v>134</v>
      </c>
      <c r="F3" s="63" t="s">
        <v>135</v>
      </c>
      <c r="G3" s="64" t="s">
        <v>136</v>
      </c>
      <c r="H3" s="63" t="s">
        <v>137</v>
      </c>
      <c r="I3" s="63" t="s">
        <v>138</v>
      </c>
      <c r="J3" s="267" t="s">
        <v>158</v>
      </c>
      <c r="K3" s="268"/>
      <c r="L3" s="269" t="s">
        <v>167</v>
      </c>
      <c r="M3" s="269"/>
    </row>
    <row r="4" spans="2:13" ht="138.75" customHeight="1">
      <c r="B4" s="57" t="s">
        <v>126</v>
      </c>
      <c r="C4" s="58" t="s">
        <v>127</v>
      </c>
      <c r="D4" s="59" t="s">
        <v>128</v>
      </c>
      <c r="E4" s="60" t="s">
        <v>129</v>
      </c>
      <c r="F4" s="57" t="s">
        <v>130</v>
      </c>
      <c r="G4" s="61">
        <v>43455</v>
      </c>
      <c r="H4" s="62">
        <f>24813842+148773178</f>
        <v>173587020</v>
      </c>
      <c r="I4" s="61">
        <f>+G4</f>
        <v>43455</v>
      </c>
      <c r="J4" s="78">
        <v>43714</v>
      </c>
      <c r="K4" s="79">
        <v>54526061</v>
      </c>
      <c r="L4" s="78">
        <v>43748</v>
      </c>
      <c r="M4" s="79">
        <v>34717404</v>
      </c>
    </row>
    <row r="5" spans="2:13">
      <c r="B5" s="266"/>
      <c r="C5" s="266"/>
      <c r="D5" s="266"/>
      <c r="E5" s="266"/>
      <c r="F5" s="266"/>
      <c r="G5" s="266"/>
      <c r="H5" s="266"/>
      <c r="I5" s="266"/>
    </row>
    <row r="10" spans="2:13">
      <c r="K10" s="171"/>
    </row>
  </sheetData>
  <mergeCells count="4">
    <mergeCell ref="B2:I2"/>
    <mergeCell ref="B5:I5"/>
    <mergeCell ref="J3:K3"/>
    <mergeCell ref="L3:M3"/>
  </mergeCells>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M49"/>
  <sheetViews>
    <sheetView topLeftCell="B1" zoomScale="60" zoomScaleNormal="60" workbookViewId="0">
      <selection activeCell="B11" sqref="B11:L11"/>
    </sheetView>
  </sheetViews>
  <sheetFormatPr baseColWidth="10" defaultColWidth="11.42578125" defaultRowHeight="15"/>
  <cols>
    <col min="1" max="1" width="17" customWidth="1"/>
    <col min="2" max="2" width="18" style="99" customWidth="1"/>
    <col min="4" max="4" width="5.7109375" customWidth="1"/>
    <col min="5" max="5" width="6.7109375" customWidth="1"/>
    <col min="6" max="6" width="6.42578125" customWidth="1"/>
    <col min="7" max="7" width="5.42578125" customWidth="1"/>
    <col min="8" max="8" width="6.7109375" style="16" customWidth="1"/>
    <col min="9" max="12" width="6" customWidth="1"/>
    <col min="13" max="13" width="6" style="16" customWidth="1"/>
    <col min="14" max="17" width="6" customWidth="1"/>
    <col min="18" max="18" width="6" style="16" customWidth="1"/>
    <col min="19" max="22" width="6" customWidth="1"/>
    <col min="23" max="23" width="6" style="16" customWidth="1"/>
    <col min="24" max="63" width="6" customWidth="1"/>
    <col min="64" max="64" width="18.7109375" customWidth="1"/>
    <col min="65" max="65" width="31" customWidth="1"/>
  </cols>
  <sheetData>
    <row r="2" spans="1:65">
      <c r="D2" s="211" t="s">
        <v>173</v>
      </c>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row>
    <row r="3" spans="1:65">
      <c r="D3" s="211" t="s">
        <v>174</v>
      </c>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row>
    <row r="5" spans="1:65">
      <c r="C5" s="107" t="s">
        <v>175</v>
      </c>
      <c r="D5" s="107"/>
      <c r="E5" s="212" t="s">
        <v>266</v>
      </c>
      <c r="F5" s="212"/>
      <c r="G5" s="212"/>
      <c r="H5" s="212"/>
      <c r="I5" s="212"/>
      <c r="J5" s="212"/>
      <c r="K5" s="212"/>
      <c r="L5" s="212"/>
      <c r="M5" s="212"/>
    </row>
    <row r="6" spans="1:65">
      <c r="C6" s="16" t="s">
        <v>176</v>
      </c>
      <c r="E6" s="213"/>
      <c r="F6" s="213"/>
      <c r="G6" s="213"/>
      <c r="H6" s="213"/>
      <c r="I6" s="213"/>
      <c r="J6" s="213"/>
      <c r="K6" s="213"/>
      <c r="L6" s="213"/>
      <c r="M6" s="213"/>
    </row>
    <row r="7" spans="1:65">
      <c r="C7" s="107" t="s">
        <v>177</v>
      </c>
      <c r="D7" s="107"/>
      <c r="E7" s="212" t="s">
        <v>267</v>
      </c>
      <c r="F7" s="212"/>
      <c r="G7" s="212"/>
      <c r="H7" s="212"/>
      <c r="I7" s="212"/>
      <c r="J7" s="212"/>
      <c r="K7" s="212"/>
      <c r="L7" s="212"/>
      <c r="M7" s="212"/>
    </row>
    <row r="8" spans="1:65">
      <c r="C8" s="107" t="s">
        <v>178</v>
      </c>
      <c r="D8" s="107"/>
      <c r="F8" s="108"/>
      <c r="G8" s="108"/>
      <c r="H8" s="210" t="s">
        <v>268</v>
      </c>
      <c r="I8" s="210"/>
      <c r="J8" s="210"/>
      <c r="K8" s="210"/>
      <c r="L8" s="210"/>
      <c r="M8" s="210"/>
      <c r="BL8">
        <f>BK12+BF12+BA12+AV12+AQ12+AL12+AG12+AB12+W12+R12+M12+H12</f>
        <v>13</v>
      </c>
    </row>
    <row r="10" spans="1:65">
      <c r="D10" s="207" t="s">
        <v>34</v>
      </c>
      <c r="E10" s="208"/>
      <c r="F10" s="208"/>
      <c r="G10" s="208"/>
      <c r="H10" s="209"/>
      <c r="I10" s="207" t="s">
        <v>9</v>
      </c>
      <c r="J10" s="208"/>
      <c r="K10" s="208"/>
      <c r="L10" s="208"/>
      <c r="M10" s="209"/>
      <c r="N10" s="207" t="s">
        <v>10</v>
      </c>
      <c r="O10" s="208"/>
      <c r="P10" s="208"/>
      <c r="Q10" s="208"/>
      <c r="R10" s="209"/>
      <c r="S10" s="207" t="s">
        <v>35</v>
      </c>
      <c r="T10" s="208"/>
      <c r="U10" s="208"/>
      <c r="V10" s="208"/>
      <c r="W10" s="209"/>
      <c r="X10" s="207" t="s">
        <v>36</v>
      </c>
      <c r="Y10" s="208"/>
      <c r="Z10" s="208"/>
      <c r="AA10" s="208"/>
      <c r="AB10" s="209"/>
      <c r="AC10" s="207" t="s">
        <v>37</v>
      </c>
      <c r="AD10" s="208"/>
      <c r="AE10" s="208"/>
      <c r="AF10" s="208"/>
      <c r="AG10" s="209"/>
      <c r="AH10" s="207" t="s">
        <v>38</v>
      </c>
      <c r="AI10" s="208"/>
      <c r="AJ10" s="208"/>
      <c r="AK10" s="208"/>
      <c r="AL10" s="209"/>
      <c r="AM10" s="207" t="s">
        <v>39</v>
      </c>
      <c r="AN10" s="208"/>
      <c r="AO10" s="208"/>
      <c r="AP10" s="208"/>
      <c r="AQ10" s="209"/>
      <c r="AR10" s="207" t="s">
        <v>40</v>
      </c>
      <c r="AS10" s="208"/>
      <c r="AT10" s="208"/>
      <c r="AU10" s="208"/>
      <c r="AV10" s="209"/>
      <c r="AW10" s="207" t="s">
        <v>41</v>
      </c>
      <c r="AX10" s="208"/>
      <c r="AY10" s="208"/>
      <c r="AZ10" s="208"/>
      <c r="BA10" s="209"/>
      <c r="BB10" s="207" t="s">
        <v>42</v>
      </c>
      <c r="BC10" s="208"/>
      <c r="BD10" s="208"/>
      <c r="BE10" s="208"/>
      <c r="BF10" s="209"/>
      <c r="BG10" s="207" t="s">
        <v>43</v>
      </c>
      <c r="BH10" s="208"/>
      <c r="BI10" s="208"/>
      <c r="BJ10" s="208"/>
      <c r="BK10" s="209"/>
    </row>
    <row r="11" spans="1:65" ht="54">
      <c r="B11" s="109" t="s">
        <v>179</v>
      </c>
      <c r="C11" s="110" t="s">
        <v>180</v>
      </c>
      <c r="D11" s="111" t="s">
        <v>181</v>
      </c>
      <c r="E11" s="111" t="s">
        <v>182</v>
      </c>
      <c r="F11" s="111" t="s">
        <v>183</v>
      </c>
      <c r="G11" s="111" t="s">
        <v>184</v>
      </c>
      <c r="H11" s="111" t="s">
        <v>185</v>
      </c>
      <c r="I11" s="111" t="s">
        <v>181</v>
      </c>
      <c r="J11" s="111" t="s">
        <v>182</v>
      </c>
      <c r="K11" s="111" t="s">
        <v>183</v>
      </c>
      <c r="L11" s="111" t="s">
        <v>184</v>
      </c>
      <c r="M11" s="111" t="s">
        <v>185</v>
      </c>
      <c r="N11" s="111" t="s">
        <v>181</v>
      </c>
      <c r="O11" s="111" t="s">
        <v>182</v>
      </c>
      <c r="P11" s="111" t="s">
        <v>183</v>
      </c>
      <c r="Q11" s="111" t="s">
        <v>184</v>
      </c>
      <c r="R11" s="111" t="s">
        <v>185</v>
      </c>
      <c r="S11" s="111" t="s">
        <v>181</v>
      </c>
      <c r="T11" s="111" t="s">
        <v>182</v>
      </c>
      <c r="U11" s="111" t="s">
        <v>183</v>
      </c>
      <c r="V11" s="111" t="s">
        <v>184</v>
      </c>
      <c r="W11" s="111" t="s">
        <v>185</v>
      </c>
      <c r="X11" s="111" t="s">
        <v>181</v>
      </c>
      <c r="Y11" s="111" t="s">
        <v>182</v>
      </c>
      <c r="Z11" s="111" t="s">
        <v>183</v>
      </c>
      <c r="AA11" s="111" t="s">
        <v>184</v>
      </c>
      <c r="AB11" s="111" t="s">
        <v>185</v>
      </c>
      <c r="AC11" s="111" t="s">
        <v>181</v>
      </c>
      <c r="AD11" s="111" t="s">
        <v>182</v>
      </c>
      <c r="AE11" s="111" t="s">
        <v>183</v>
      </c>
      <c r="AF11" s="111" t="s">
        <v>184</v>
      </c>
      <c r="AG11" s="111" t="s">
        <v>185</v>
      </c>
      <c r="AH11" s="111" t="s">
        <v>181</v>
      </c>
      <c r="AI11" s="111" t="s">
        <v>182</v>
      </c>
      <c r="AJ11" s="111" t="s">
        <v>183</v>
      </c>
      <c r="AK11" s="111" t="s">
        <v>184</v>
      </c>
      <c r="AL11" s="111" t="s">
        <v>185</v>
      </c>
      <c r="AM11" s="111" t="s">
        <v>181</v>
      </c>
      <c r="AN11" s="111" t="s">
        <v>182</v>
      </c>
      <c r="AO11" s="111" t="s">
        <v>183</v>
      </c>
      <c r="AP11" s="111" t="s">
        <v>184</v>
      </c>
      <c r="AQ11" s="111" t="s">
        <v>185</v>
      </c>
      <c r="AR11" s="111" t="s">
        <v>181</v>
      </c>
      <c r="AS11" s="111" t="s">
        <v>182</v>
      </c>
      <c r="AT11" s="111" t="s">
        <v>183</v>
      </c>
      <c r="AU11" s="111" t="s">
        <v>184</v>
      </c>
      <c r="AV11" s="111" t="s">
        <v>185</v>
      </c>
      <c r="AW11" s="111" t="s">
        <v>181</v>
      </c>
      <c r="AX11" s="111" t="s">
        <v>182</v>
      </c>
      <c r="AY11" s="111" t="s">
        <v>183</v>
      </c>
      <c r="AZ11" s="111" t="s">
        <v>184</v>
      </c>
      <c r="BA11" s="111" t="s">
        <v>185</v>
      </c>
      <c r="BB11" s="111" t="s">
        <v>181</v>
      </c>
      <c r="BC11" s="111" t="s">
        <v>182</v>
      </c>
      <c r="BD11" s="111" t="s">
        <v>183</v>
      </c>
      <c r="BE11" s="111" t="s">
        <v>184</v>
      </c>
      <c r="BF11" s="111" t="s">
        <v>185</v>
      </c>
      <c r="BG11" s="111" t="s">
        <v>181</v>
      </c>
      <c r="BH11" s="111" t="s">
        <v>182</v>
      </c>
      <c r="BI11" s="111" t="s">
        <v>183</v>
      </c>
      <c r="BJ11" s="111" t="s">
        <v>184</v>
      </c>
      <c r="BK11" s="111" t="s">
        <v>185</v>
      </c>
      <c r="BL11" s="109" t="s">
        <v>186</v>
      </c>
      <c r="BM11" s="112" t="s">
        <v>187</v>
      </c>
    </row>
    <row r="12" spans="1:65">
      <c r="A12" s="113"/>
      <c r="B12" s="197" t="s">
        <v>188</v>
      </c>
      <c r="C12" s="114" t="s">
        <v>189</v>
      </c>
      <c r="D12" s="115">
        <v>0</v>
      </c>
      <c r="E12" s="115">
        <v>0</v>
      </c>
      <c r="F12" s="115">
        <v>0</v>
      </c>
      <c r="G12" s="115">
        <v>0</v>
      </c>
      <c r="H12" s="152">
        <f>D12+E12+F12+G12</f>
        <v>0</v>
      </c>
      <c r="I12" s="115">
        <v>0</v>
      </c>
      <c r="J12" s="115">
        <v>0</v>
      </c>
      <c r="K12" s="115">
        <v>0</v>
      </c>
      <c r="L12" s="115">
        <v>0</v>
      </c>
      <c r="M12" s="152">
        <f>I12+J12+K12+L12</f>
        <v>0</v>
      </c>
      <c r="N12" s="115">
        <v>0</v>
      </c>
      <c r="O12" s="115">
        <v>0</v>
      </c>
      <c r="P12" s="115">
        <v>0</v>
      </c>
      <c r="Q12" s="115">
        <v>0</v>
      </c>
      <c r="R12" s="152">
        <f>N12+O12+P12+Q12</f>
        <v>0</v>
      </c>
      <c r="S12" s="115">
        <v>0</v>
      </c>
      <c r="T12" s="115">
        <v>0</v>
      </c>
      <c r="U12" s="115">
        <v>0</v>
      </c>
      <c r="V12" s="115">
        <v>0</v>
      </c>
      <c r="W12" s="152">
        <f>S12+T12+U12+V12</f>
        <v>0</v>
      </c>
      <c r="X12" s="115">
        <v>0</v>
      </c>
      <c r="Y12" s="115">
        <v>0</v>
      </c>
      <c r="Z12" s="115">
        <v>13</v>
      </c>
      <c r="AA12" s="115">
        <v>0</v>
      </c>
      <c r="AB12" s="152">
        <f>X12+Y12+Z12+AA12</f>
        <v>13</v>
      </c>
      <c r="AC12" s="115">
        <v>0</v>
      </c>
      <c r="AD12" s="115">
        <v>0</v>
      </c>
      <c r="AE12" s="115">
        <v>0</v>
      </c>
      <c r="AF12" s="115">
        <v>0</v>
      </c>
      <c r="AG12" s="152">
        <v>0</v>
      </c>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f>SUM(BK12+BF12+BA12+AV12+AQ12+AL12+AG12+AB12++W12+R12+M12+H12)</f>
        <v>13</v>
      </c>
      <c r="BM12" s="198">
        <f>SUM(BL12:BL13)</f>
        <v>23</v>
      </c>
    </row>
    <row r="13" spans="1:65">
      <c r="A13" s="113"/>
      <c r="B13" s="197"/>
      <c r="C13" s="114" t="s">
        <v>190</v>
      </c>
      <c r="D13" s="115">
        <v>0</v>
      </c>
      <c r="E13" s="115">
        <v>0</v>
      </c>
      <c r="F13" s="115">
        <v>0</v>
      </c>
      <c r="G13" s="115">
        <v>0</v>
      </c>
      <c r="H13" s="152">
        <f t="shared" ref="H13:H48" si="0">D13+E13+F13+G13</f>
        <v>0</v>
      </c>
      <c r="I13" s="115">
        <v>0</v>
      </c>
      <c r="J13" s="115">
        <v>0</v>
      </c>
      <c r="K13" s="115">
        <v>0</v>
      </c>
      <c r="L13" s="115">
        <v>0</v>
      </c>
      <c r="M13" s="152">
        <f t="shared" ref="M13:M48" si="1">I13+J13+K13+L13</f>
        <v>0</v>
      </c>
      <c r="N13" s="115">
        <v>0</v>
      </c>
      <c r="O13" s="115">
        <v>0</v>
      </c>
      <c r="P13" s="115">
        <v>0</v>
      </c>
      <c r="Q13" s="115">
        <v>0</v>
      </c>
      <c r="R13" s="152">
        <f t="shared" ref="R13:R48" si="2">N13+O13+P13+Q13</f>
        <v>0</v>
      </c>
      <c r="S13" s="115">
        <v>0</v>
      </c>
      <c r="T13" s="115">
        <v>0</v>
      </c>
      <c r="U13" s="115">
        <v>0</v>
      </c>
      <c r="V13" s="115">
        <v>0</v>
      </c>
      <c r="W13" s="152">
        <f t="shared" ref="W13:W48" si="3">S13+T13+U13+V13</f>
        <v>0</v>
      </c>
      <c r="X13" s="115">
        <v>0</v>
      </c>
      <c r="Y13" s="115">
        <v>0</v>
      </c>
      <c r="Z13" s="115">
        <v>10</v>
      </c>
      <c r="AA13" s="115">
        <v>0</v>
      </c>
      <c r="AB13" s="152">
        <f>X13+Y13+Z13+AA13</f>
        <v>10</v>
      </c>
      <c r="AC13" s="115">
        <v>0</v>
      </c>
      <c r="AD13" s="115">
        <v>0</v>
      </c>
      <c r="AE13" s="115">
        <v>0</v>
      </c>
      <c r="AF13" s="115">
        <v>0</v>
      </c>
      <c r="AG13" s="152">
        <v>0</v>
      </c>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f>SUM(BK13+BF13+BA13+AV13+AQ13+AL13+AG13+AB13++W13+R13+M13+H13)</f>
        <v>10</v>
      </c>
      <c r="BM13" s="198"/>
    </row>
    <row r="14" spans="1:65">
      <c r="B14" s="199" t="s">
        <v>191</v>
      </c>
      <c r="C14" s="116" t="s">
        <v>189</v>
      </c>
      <c r="D14" s="115">
        <v>0</v>
      </c>
      <c r="E14" s="115">
        <v>0</v>
      </c>
      <c r="F14" s="153">
        <v>1</v>
      </c>
      <c r="G14" s="115">
        <v>0</v>
      </c>
      <c r="H14" s="152">
        <f t="shared" si="0"/>
        <v>1</v>
      </c>
      <c r="I14" s="115">
        <v>0</v>
      </c>
      <c r="J14" s="115">
        <v>0</v>
      </c>
      <c r="K14" s="153">
        <v>1</v>
      </c>
      <c r="L14" s="51">
        <v>0</v>
      </c>
      <c r="M14" s="152">
        <f t="shared" si="1"/>
        <v>1</v>
      </c>
      <c r="N14" s="115">
        <v>0</v>
      </c>
      <c r="O14" s="115">
        <v>0</v>
      </c>
      <c r="P14" s="115">
        <v>0</v>
      </c>
      <c r="Q14" s="115">
        <v>0</v>
      </c>
      <c r="R14" s="152">
        <f t="shared" si="2"/>
        <v>0</v>
      </c>
      <c r="S14" s="115">
        <v>0</v>
      </c>
      <c r="T14" s="115">
        <v>0</v>
      </c>
      <c r="U14" s="115">
        <v>0</v>
      </c>
      <c r="V14" s="115">
        <v>0</v>
      </c>
      <c r="W14" s="152">
        <f t="shared" si="3"/>
        <v>0</v>
      </c>
      <c r="X14" s="115">
        <v>0</v>
      </c>
      <c r="Y14" s="115">
        <v>0</v>
      </c>
      <c r="Z14" s="51">
        <v>0</v>
      </c>
      <c r="AA14" s="115">
        <v>0</v>
      </c>
      <c r="AB14" s="51">
        <f>X14+Y14+Z14+AA14</f>
        <v>0</v>
      </c>
      <c r="AC14" s="115">
        <v>0</v>
      </c>
      <c r="AD14" s="115">
        <v>0</v>
      </c>
      <c r="AE14" s="115">
        <v>0</v>
      </c>
      <c r="AF14" s="115">
        <v>0</v>
      </c>
      <c r="AG14" s="152">
        <v>0</v>
      </c>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f t="shared" ref="BL14:BL48" si="4">SUM(BK14+BF14+BA14+AV14+AQ14+AL14+AG14+AB14++W14+R14+M14+H14)</f>
        <v>2</v>
      </c>
      <c r="BM14" s="195">
        <f>SUM(BL14:BL15)</f>
        <v>2</v>
      </c>
    </row>
    <row r="15" spans="1:65">
      <c r="B15" s="199"/>
      <c r="C15" s="116" t="s">
        <v>190</v>
      </c>
      <c r="D15" s="115">
        <v>0</v>
      </c>
      <c r="E15" s="115">
        <v>0</v>
      </c>
      <c r="F15" s="51">
        <v>0</v>
      </c>
      <c r="G15" s="115">
        <v>0</v>
      </c>
      <c r="H15" s="152">
        <f t="shared" si="0"/>
        <v>0</v>
      </c>
      <c r="I15" s="115">
        <v>0</v>
      </c>
      <c r="J15" s="115">
        <v>0</v>
      </c>
      <c r="K15" s="51">
        <v>0</v>
      </c>
      <c r="L15" s="51">
        <v>0</v>
      </c>
      <c r="M15" s="152">
        <f t="shared" si="1"/>
        <v>0</v>
      </c>
      <c r="N15" s="115">
        <v>0</v>
      </c>
      <c r="O15" s="115">
        <v>0</v>
      </c>
      <c r="P15" s="115">
        <v>0</v>
      </c>
      <c r="Q15" s="115">
        <v>0</v>
      </c>
      <c r="R15" s="152">
        <f t="shared" si="2"/>
        <v>0</v>
      </c>
      <c r="S15" s="115">
        <v>0</v>
      </c>
      <c r="T15" s="115">
        <v>0</v>
      </c>
      <c r="U15" s="115">
        <v>0</v>
      </c>
      <c r="V15" s="115">
        <v>0</v>
      </c>
      <c r="W15" s="152">
        <f t="shared" si="3"/>
        <v>0</v>
      </c>
      <c r="X15" s="115">
        <v>0</v>
      </c>
      <c r="Y15" s="115">
        <v>0</v>
      </c>
      <c r="Z15" s="51">
        <v>0</v>
      </c>
      <c r="AA15" s="115">
        <v>0</v>
      </c>
      <c r="AB15" s="115">
        <f t="shared" ref="AB15:AB48" si="5">X15+Y15+Z15+AA15</f>
        <v>0</v>
      </c>
      <c r="AC15" s="115">
        <v>0</v>
      </c>
      <c r="AD15" s="115">
        <v>0</v>
      </c>
      <c r="AE15" s="115">
        <v>0</v>
      </c>
      <c r="AF15" s="115">
        <v>0</v>
      </c>
      <c r="AG15" s="152">
        <v>0</v>
      </c>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f t="shared" si="4"/>
        <v>0</v>
      </c>
      <c r="BM15" s="195"/>
    </row>
    <row r="16" spans="1:65" ht="19.5" customHeight="1">
      <c r="B16" s="199" t="s">
        <v>192</v>
      </c>
      <c r="C16" s="116" t="s">
        <v>189</v>
      </c>
      <c r="D16" s="115">
        <v>0</v>
      </c>
      <c r="E16" s="115">
        <v>0</v>
      </c>
      <c r="F16" s="51">
        <v>0</v>
      </c>
      <c r="G16" s="115">
        <v>0</v>
      </c>
      <c r="H16" s="152">
        <f t="shared" si="0"/>
        <v>0</v>
      </c>
      <c r="I16" s="115">
        <v>0</v>
      </c>
      <c r="J16" s="115">
        <v>0</v>
      </c>
      <c r="K16" s="51">
        <v>0</v>
      </c>
      <c r="L16" s="51">
        <v>0</v>
      </c>
      <c r="M16" s="152">
        <f t="shared" si="1"/>
        <v>0</v>
      </c>
      <c r="N16" s="115">
        <v>0</v>
      </c>
      <c r="O16" s="115">
        <v>0</v>
      </c>
      <c r="P16" s="115">
        <v>0</v>
      </c>
      <c r="Q16" s="115">
        <v>0</v>
      </c>
      <c r="R16" s="152">
        <f t="shared" si="2"/>
        <v>0</v>
      </c>
      <c r="S16" s="115">
        <v>0</v>
      </c>
      <c r="T16" s="115">
        <v>0</v>
      </c>
      <c r="U16" s="115">
        <v>0</v>
      </c>
      <c r="V16" s="115">
        <v>0</v>
      </c>
      <c r="W16" s="152">
        <f t="shared" si="3"/>
        <v>0</v>
      </c>
      <c r="X16" s="115">
        <v>0</v>
      </c>
      <c r="Y16" s="115">
        <v>0</v>
      </c>
      <c r="Z16" s="51">
        <v>0</v>
      </c>
      <c r="AA16" s="115">
        <v>0</v>
      </c>
      <c r="AB16" s="115">
        <f t="shared" si="5"/>
        <v>0</v>
      </c>
      <c r="AC16" s="115">
        <v>0</v>
      </c>
      <c r="AD16" s="115">
        <v>0</v>
      </c>
      <c r="AE16" s="115">
        <v>0</v>
      </c>
      <c r="AF16" s="115">
        <v>0</v>
      </c>
      <c r="AG16" s="152">
        <v>0</v>
      </c>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f t="shared" si="4"/>
        <v>0</v>
      </c>
      <c r="BM16" s="195">
        <f>SUM(BL16:BL17)</f>
        <v>0</v>
      </c>
    </row>
    <row r="17" spans="1:65" ht="24" customHeight="1">
      <c r="B17" s="199"/>
      <c r="C17" s="116" t="s">
        <v>190</v>
      </c>
      <c r="D17" s="115">
        <v>0</v>
      </c>
      <c r="E17" s="115">
        <v>0</v>
      </c>
      <c r="F17" s="51">
        <v>0</v>
      </c>
      <c r="G17" s="115">
        <v>0</v>
      </c>
      <c r="H17" s="152">
        <f t="shared" si="0"/>
        <v>0</v>
      </c>
      <c r="I17" s="115">
        <v>0</v>
      </c>
      <c r="J17" s="115">
        <v>0</v>
      </c>
      <c r="K17" s="51">
        <v>0</v>
      </c>
      <c r="L17" s="51">
        <v>0</v>
      </c>
      <c r="M17" s="152">
        <f t="shared" si="1"/>
        <v>0</v>
      </c>
      <c r="N17" s="115">
        <v>0</v>
      </c>
      <c r="O17" s="115">
        <v>0</v>
      </c>
      <c r="P17" s="115">
        <v>0</v>
      </c>
      <c r="Q17" s="115">
        <v>0</v>
      </c>
      <c r="R17" s="152">
        <f t="shared" si="2"/>
        <v>0</v>
      </c>
      <c r="S17" s="115">
        <v>0</v>
      </c>
      <c r="T17" s="115">
        <v>0</v>
      </c>
      <c r="U17" s="115">
        <v>0</v>
      </c>
      <c r="V17" s="115">
        <v>0</v>
      </c>
      <c r="W17" s="152">
        <f t="shared" si="3"/>
        <v>0</v>
      </c>
      <c r="X17" s="115">
        <v>0</v>
      </c>
      <c r="Y17" s="115">
        <v>0</v>
      </c>
      <c r="Z17" s="51">
        <v>0</v>
      </c>
      <c r="AA17" s="115">
        <v>0</v>
      </c>
      <c r="AB17" s="51">
        <f t="shared" si="5"/>
        <v>0</v>
      </c>
      <c r="AC17" s="115">
        <v>0</v>
      </c>
      <c r="AD17" s="115">
        <v>0</v>
      </c>
      <c r="AE17" s="115">
        <v>0</v>
      </c>
      <c r="AF17" s="115">
        <v>0</v>
      </c>
      <c r="AG17" s="152">
        <v>0</v>
      </c>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f t="shared" si="4"/>
        <v>0</v>
      </c>
      <c r="BM17" s="195"/>
    </row>
    <row r="18" spans="1:65">
      <c r="A18" s="113"/>
      <c r="B18" s="197" t="s">
        <v>193</v>
      </c>
      <c r="C18" s="114" t="s">
        <v>189</v>
      </c>
      <c r="D18" s="115">
        <v>0</v>
      </c>
      <c r="E18" s="115">
        <v>0</v>
      </c>
      <c r="F18" s="51">
        <v>0</v>
      </c>
      <c r="G18" s="115">
        <v>0</v>
      </c>
      <c r="H18" s="152">
        <f t="shared" si="0"/>
        <v>0</v>
      </c>
      <c r="I18" s="152">
        <v>8</v>
      </c>
      <c r="J18" s="115">
        <v>0</v>
      </c>
      <c r="K18" s="51">
        <v>0</v>
      </c>
      <c r="L18" s="152">
        <v>10</v>
      </c>
      <c r="M18" s="152">
        <f t="shared" si="1"/>
        <v>18</v>
      </c>
      <c r="N18" s="154">
        <v>18</v>
      </c>
      <c r="O18" s="115">
        <v>0</v>
      </c>
      <c r="P18" s="115">
        <v>0</v>
      </c>
      <c r="Q18" s="115">
        <v>0</v>
      </c>
      <c r="R18" s="152">
        <f t="shared" si="2"/>
        <v>18</v>
      </c>
      <c r="S18" s="115">
        <v>0</v>
      </c>
      <c r="T18" s="115">
        <v>0</v>
      </c>
      <c r="U18" s="115">
        <v>0</v>
      </c>
      <c r="V18" s="115">
        <v>0</v>
      </c>
      <c r="W18" s="152">
        <f t="shared" si="3"/>
        <v>0</v>
      </c>
      <c r="X18" s="115">
        <v>0</v>
      </c>
      <c r="Y18" s="115">
        <v>0</v>
      </c>
      <c r="Z18" s="51">
        <v>0</v>
      </c>
      <c r="AA18" s="115">
        <v>0</v>
      </c>
      <c r="AB18" s="115">
        <f t="shared" si="5"/>
        <v>0</v>
      </c>
      <c r="AC18" s="115">
        <v>0</v>
      </c>
      <c r="AD18" s="115">
        <v>0</v>
      </c>
      <c r="AE18" s="115">
        <v>0</v>
      </c>
      <c r="AF18" s="115">
        <v>0</v>
      </c>
      <c r="AG18" s="152">
        <v>0</v>
      </c>
      <c r="AH18" s="115"/>
      <c r="AI18" s="115"/>
      <c r="AJ18" s="115"/>
      <c r="AK18" s="115"/>
      <c r="AL18" s="115"/>
      <c r="AM18" s="115"/>
      <c r="AN18" s="115"/>
      <c r="AO18" s="115"/>
      <c r="AP18" s="115"/>
      <c r="AQ18" s="115"/>
      <c r="AR18" s="115"/>
      <c r="AS18" s="115"/>
      <c r="AT18" s="115"/>
      <c r="AU18" s="115"/>
      <c r="AV18" s="115"/>
      <c r="AW18" s="115"/>
      <c r="AY18" s="115"/>
      <c r="AZ18" s="115"/>
      <c r="BA18" s="115"/>
      <c r="BB18" s="115"/>
      <c r="BC18" s="115"/>
      <c r="BD18" s="115"/>
      <c r="BE18" s="115"/>
      <c r="BF18" s="115"/>
      <c r="BG18" s="115"/>
      <c r="BH18" s="115"/>
      <c r="BI18" s="115"/>
      <c r="BJ18" s="115"/>
      <c r="BK18" s="115"/>
      <c r="BL18" s="115">
        <f t="shared" si="4"/>
        <v>36</v>
      </c>
      <c r="BM18" s="198">
        <f>SUM(BL18:BL19)</f>
        <v>72</v>
      </c>
    </row>
    <row r="19" spans="1:65">
      <c r="A19" s="113"/>
      <c r="B19" s="197"/>
      <c r="C19" s="114" t="s">
        <v>190</v>
      </c>
      <c r="D19" s="115">
        <v>0</v>
      </c>
      <c r="E19" s="115">
        <v>0</v>
      </c>
      <c r="F19" s="51">
        <v>0</v>
      </c>
      <c r="G19" s="115">
        <v>0</v>
      </c>
      <c r="H19" s="152">
        <f t="shared" si="0"/>
        <v>0</v>
      </c>
      <c r="I19" s="152">
        <v>8</v>
      </c>
      <c r="J19" s="115">
        <v>0</v>
      </c>
      <c r="K19" s="51">
        <v>0</v>
      </c>
      <c r="L19" s="152">
        <v>10</v>
      </c>
      <c r="M19" s="152">
        <f t="shared" si="1"/>
        <v>18</v>
      </c>
      <c r="N19" s="152">
        <v>18</v>
      </c>
      <c r="O19" s="115">
        <v>0</v>
      </c>
      <c r="P19" s="115">
        <v>0</v>
      </c>
      <c r="Q19" s="115">
        <v>0</v>
      </c>
      <c r="R19" s="152">
        <f t="shared" si="2"/>
        <v>18</v>
      </c>
      <c r="S19" s="115">
        <v>0</v>
      </c>
      <c r="T19" s="115">
        <v>0</v>
      </c>
      <c r="U19" s="115">
        <v>0</v>
      </c>
      <c r="V19" s="115">
        <v>0</v>
      </c>
      <c r="W19" s="152">
        <f t="shared" si="3"/>
        <v>0</v>
      </c>
      <c r="X19" s="115">
        <v>0</v>
      </c>
      <c r="Y19" s="115">
        <v>0</v>
      </c>
      <c r="Z19" s="51">
        <v>0</v>
      </c>
      <c r="AA19" s="115">
        <v>0</v>
      </c>
      <c r="AB19" s="115">
        <f t="shared" si="5"/>
        <v>0</v>
      </c>
      <c r="AC19" s="115">
        <v>0</v>
      </c>
      <c r="AD19" s="115">
        <v>0</v>
      </c>
      <c r="AE19" s="115">
        <v>0</v>
      </c>
      <c r="AF19" s="115">
        <v>0</v>
      </c>
      <c r="AG19" s="152">
        <v>0</v>
      </c>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f t="shared" si="4"/>
        <v>36</v>
      </c>
      <c r="BM19" s="198"/>
    </row>
    <row r="20" spans="1:65">
      <c r="A20" s="113"/>
      <c r="B20" s="197" t="s">
        <v>194</v>
      </c>
      <c r="C20" s="114" t="s">
        <v>189</v>
      </c>
      <c r="D20" s="115">
        <v>0</v>
      </c>
      <c r="E20" s="115">
        <v>0</v>
      </c>
      <c r="F20" s="51">
        <v>0</v>
      </c>
      <c r="G20" s="115">
        <v>0</v>
      </c>
      <c r="H20" s="152">
        <f t="shared" si="0"/>
        <v>0</v>
      </c>
      <c r="I20" s="115">
        <v>0</v>
      </c>
      <c r="J20" s="115">
        <v>0</v>
      </c>
      <c r="K20" s="51">
        <v>0</v>
      </c>
      <c r="L20" s="115">
        <v>0</v>
      </c>
      <c r="M20" s="152">
        <f t="shared" si="1"/>
        <v>0</v>
      </c>
      <c r="N20" s="115">
        <v>0</v>
      </c>
      <c r="O20" s="115">
        <v>0</v>
      </c>
      <c r="P20" s="115">
        <v>0</v>
      </c>
      <c r="Q20" s="115">
        <v>0</v>
      </c>
      <c r="R20" s="152">
        <f t="shared" si="2"/>
        <v>0</v>
      </c>
      <c r="S20" s="115">
        <v>0</v>
      </c>
      <c r="T20" s="115">
        <v>0</v>
      </c>
      <c r="U20" s="115">
        <v>0</v>
      </c>
      <c r="V20" s="115">
        <v>0</v>
      </c>
      <c r="W20" s="152">
        <f t="shared" si="3"/>
        <v>0</v>
      </c>
      <c r="X20" s="115">
        <v>0</v>
      </c>
      <c r="Y20" s="115">
        <v>0</v>
      </c>
      <c r="Z20" s="51">
        <v>0</v>
      </c>
      <c r="AA20" s="115">
        <v>0</v>
      </c>
      <c r="AB20" s="115">
        <f t="shared" si="5"/>
        <v>0</v>
      </c>
      <c r="AC20" s="115">
        <v>0</v>
      </c>
      <c r="AD20" s="115">
        <v>0</v>
      </c>
      <c r="AE20" s="115">
        <v>0</v>
      </c>
      <c r="AF20" s="115">
        <v>0</v>
      </c>
      <c r="AG20" s="152">
        <v>0</v>
      </c>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f t="shared" si="4"/>
        <v>0</v>
      </c>
      <c r="BM20" s="198">
        <f>SUM(BL20:BL21)</f>
        <v>0</v>
      </c>
    </row>
    <row r="21" spans="1:65">
      <c r="A21" s="113"/>
      <c r="B21" s="197"/>
      <c r="C21" s="114" t="s">
        <v>190</v>
      </c>
      <c r="D21" s="115">
        <v>0</v>
      </c>
      <c r="E21" s="115">
        <v>0</v>
      </c>
      <c r="F21" s="51">
        <v>0</v>
      </c>
      <c r="G21" s="115">
        <v>0</v>
      </c>
      <c r="H21" s="152">
        <f t="shared" si="0"/>
        <v>0</v>
      </c>
      <c r="I21" s="115">
        <v>0</v>
      </c>
      <c r="J21" s="115">
        <v>0</v>
      </c>
      <c r="K21" s="51">
        <v>0</v>
      </c>
      <c r="L21" s="115">
        <v>0</v>
      </c>
      <c r="M21" s="152">
        <f t="shared" si="1"/>
        <v>0</v>
      </c>
      <c r="N21" s="115">
        <v>0</v>
      </c>
      <c r="O21" s="115">
        <v>0</v>
      </c>
      <c r="P21" s="115">
        <v>0</v>
      </c>
      <c r="Q21" s="115">
        <v>0</v>
      </c>
      <c r="R21" s="152">
        <f t="shared" si="2"/>
        <v>0</v>
      </c>
      <c r="S21" s="115">
        <v>0</v>
      </c>
      <c r="T21" s="115">
        <v>0</v>
      </c>
      <c r="U21" s="115">
        <v>0</v>
      </c>
      <c r="V21" s="115">
        <v>0</v>
      </c>
      <c r="W21" s="152">
        <f t="shared" si="3"/>
        <v>0</v>
      </c>
      <c r="X21" s="115">
        <v>0</v>
      </c>
      <c r="Y21" s="115">
        <v>0</v>
      </c>
      <c r="Z21" s="51">
        <v>0</v>
      </c>
      <c r="AA21" s="115">
        <v>0</v>
      </c>
      <c r="AB21" s="51">
        <f t="shared" si="5"/>
        <v>0</v>
      </c>
      <c r="AC21" s="115">
        <v>0</v>
      </c>
      <c r="AD21" s="115">
        <v>0</v>
      </c>
      <c r="AE21" s="115">
        <v>0</v>
      </c>
      <c r="AF21" s="115">
        <v>0</v>
      </c>
      <c r="AG21" s="152">
        <v>0</v>
      </c>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f t="shared" si="4"/>
        <v>0</v>
      </c>
      <c r="BM21" s="198"/>
    </row>
    <row r="22" spans="1:65" ht="45">
      <c r="A22" s="30"/>
      <c r="B22" s="117" t="s">
        <v>195</v>
      </c>
      <c r="C22" s="118"/>
      <c r="D22" s="115">
        <v>0</v>
      </c>
      <c r="E22" s="115">
        <v>0</v>
      </c>
      <c r="F22" s="51">
        <v>0</v>
      </c>
      <c r="G22" s="115">
        <v>0</v>
      </c>
      <c r="H22" s="152">
        <f t="shared" si="0"/>
        <v>0</v>
      </c>
      <c r="I22" s="115">
        <v>0</v>
      </c>
      <c r="J22" s="115">
        <v>0</v>
      </c>
      <c r="K22" s="51">
        <v>0</v>
      </c>
      <c r="L22" s="115">
        <v>0</v>
      </c>
      <c r="M22" s="152">
        <f t="shared" si="1"/>
        <v>0</v>
      </c>
      <c r="N22" s="152">
        <v>10</v>
      </c>
      <c r="O22" s="115">
        <v>0</v>
      </c>
      <c r="P22" s="115">
        <v>0</v>
      </c>
      <c r="Q22" s="115">
        <v>0</v>
      </c>
      <c r="R22" s="152">
        <f t="shared" si="2"/>
        <v>10</v>
      </c>
      <c r="S22" s="115">
        <v>0</v>
      </c>
      <c r="T22" s="115">
        <v>0</v>
      </c>
      <c r="U22" s="115">
        <v>0</v>
      </c>
      <c r="V22" s="115">
        <v>0</v>
      </c>
      <c r="W22" s="152">
        <f t="shared" si="3"/>
        <v>0</v>
      </c>
      <c r="X22" s="115">
        <v>0</v>
      </c>
      <c r="Y22" s="115">
        <v>0</v>
      </c>
      <c r="Z22" s="51">
        <v>0</v>
      </c>
      <c r="AA22" s="115">
        <v>0</v>
      </c>
      <c r="AB22" s="115">
        <f t="shared" si="5"/>
        <v>0</v>
      </c>
      <c r="AC22" s="115">
        <v>0</v>
      </c>
      <c r="AD22" s="115">
        <v>0</v>
      </c>
      <c r="AE22" s="115">
        <v>0</v>
      </c>
      <c r="AF22" s="115">
        <v>0</v>
      </c>
      <c r="AG22" s="152">
        <v>0</v>
      </c>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57">
        <f>H22+M22+R22+W22+AB22+AG22+AL22+AQ22+AV22+BA22+BF22+BK22</f>
        <v>10</v>
      </c>
    </row>
    <row r="23" spans="1:65">
      <c r="A23" s="113"/>
      <c r="B23" s="200" t="s">
        <v>196</v>
      </c>
      <c r="C23" s="114" t="s">
        <v>189</v>
      </c>
      <c r="D23" s="115">
        <v>0</v>
      </c>
      <c r="E23" s="115">
        <v>0</v>
      </c>
      <c r="F23" s="51">
        <v>0</v>
      </c>
      <c r="G23" s="115">
        <v>0</v>
      </c>
      <c r="H23" s="152">
        <f t="shared" si="0"/>
        <v>0</v>
      </c>
      <c r="I23" s="115">
        <v>0</v>
      </c>
      <c r="J23" s="152">
        <v>2</v>
      </c>
      <c r="K23" s="51">
        <v>0</v>
      </c>
      <c r="L23" s="115">
        <v>0</v>
      </c>
      <c r="M23" s="152">
        <f t="shared" si="1"/>
        <v>2</v>
      </c>
      <c r="N23" s="115">
        <v>0</v>
      </c>
      <c r="O23" s="152">
        <v>4</v>
      </c>
      <c r="P23" s="115">
        <v>0</v>
      </c>
      <c r="Q23" s="115">
        <v>0</v>
      </c>
      <c r="R23" s="152">
        <f t="shared" si="2"/>
        <v>4</v>
      </c>
      <c r="S23" s="115">
        <v>0</v>
      </c>
      <c r="T23" s="115">
        <v>0</v>
      </c>
      <c r="U23" s="115">
        <v>0</v>
      </c>
      <c r="V23" s="115">
        <v>0</v>
      </c>
      <c r="W23" s="152">
        <f t="shared" si="3"/>
        <v>0</v>
      </c>
      <c r="X23" s="115">
        <v>0</v>
      </c>
      <c r="Y23" s="115">
        <v>0</v>
      </c>
      <c r="Z23" s="51">
        <v>0</v>
      </c>
      <c r="AA23" s="115">
        <v>0</v>
      </c>
      <c r="AB23" s="115">
        <f t="shared" si="5"/>
        <v>0</v>
      </c>
      <c r="AC23" s="115">
        <v>0</v>
      </c>
      <c r="AD23" s="115">
        <v>0</v>
      </c>
      <c r="AE23" s="115">
        <v>0</v>
      </c>
      <c r="AF23" s="115">
        <v>0</v>
      </c>
      <c r="AG23" s="152">
        <v>0</v>
      </c>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f t="shared" si="4"/>
        <v>6</v>
      </c>
      <c r="BM23" s="201">
        <f>SUM(BL23:BL38)</f>
        <v>101</v>
      </c>
    </row>
    <row r="24" spans="1:65">
      <c r="A24" s="113"/>
      <c r="B24" s="200"/>
      <c r="C24" s="114" t="s">
        <v>190</v>
      </c>
      <c r="D24" s="115">
        <v>0</v>
      </c>
      <c r="E24" s="115">
        <v>0</v>
      </c>
      <c r="F24" s="51">
        <v>0</v>
      </c>
      <c r="G24" s="115">
        <v>0</v>
      </c>
      <c r="H24" s="152">
        <f t="shared" si="0"/>
        <v>0</v>
      </c>
      <c r="I24" s="115">
        <v>0</v>
      </c>
      <c r="J24" s="115">
        <v>0</v>
      </c>
      <c r="K24" s="51">
        <v>0</v>
      </c>
      <c r="L24" s="115">
        <v>0</v>
      </c>
      <c r="M24" s="152">
        <f t="shared" si="1"/>
        <v>0</v>
      </c>
      <c r="N24" s="115">
        <v>0</v>
      </c>
      <c r="O24" s="115">
        <v>0</v>
      </c>
      <c r="P24" s="115">
        <v>0</v>
      </c>
      <c r="Q24" s="115">
        <v>0</v>
      </c>
      <c r="R24" s="152">
        <f t="shared" si="2"/>
        <v>0</v>
      </c>
      <c r="S24" s="115">
        <v>0</v>
      </c>
      <c r="T24" s="115">
        <v>0</v>
      </c>
      <c r="U24" s="115">
        <v>0</v>
      </c>
      <c r="V24" s="115">
        <v>0</v>
      </c>
      <c r="W24" s="152">
        <f t="shared" si="3"/>
        <v>0</v>
      </c>
      <c r="X24" s="115">
        <v>0</v>
      </c>
      <c r="Y24" s="115">
        <v>0</v>
      </c>
      <c r="Z24" s="51">
        <v>0</v>
      </c>
      <c r="AA24" s="115">
        <v>0</v>
      </c>
      <c r="AB24" s="51">
        <f t="shared" si="5"/>
        <v>0</v>
      </c>
      <c r="AC24" s="115">
        <v>0</v>
      </c>
      <c r="AD24" s="115">
        <v>0</v>
      </c>
      <c r="AE24" s="115">
        <v>0</v>
      </c>
      <c r="AF24" s="115">
        <v>0</v>
      </c>
      <c r="AG24" s="152">
        <v>0</v>
      </c>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f t="shared" si="4"/>
        <v>0</v>
      </c>
      <c r="BM24" s="202"/>
    </row>
    <row r="25" spans="1:65">
      <c r="B25" s="204" t="s">
        <v>269</v>
      </c>
      <c r="C25" s="116" t="s">
        <v>189</v>
      </c>
      <c r="D25" s="153">
        <v>25</v>
      </c>
      <c r="E25" s="115">
        <v>0</v>
      </c>
      <c r="F25" s="51">
        <v>0</v>
      </c>
      <c r="G25" s="115">
        <v>0</v>
      </c>
      <c r="H25" s="152">
        <f t="shared" si="0"/>
        <v>25</v>
      </c>
      <c r="I25" s="115">
        <v>0</v>
      </c>
      <c r="J25" s="115">
        <v>0</v>
      </c>
      <c r="K25" s="51">
        <v>0</v>
      </c>
      <c r="L25" s="153">
        <v>5</v>
      </c>
      <c r="M25" s="152">
        <f t="shared" si="1"/>
        <v>5</v>
      </c>
      <c r="N25" s="115">
        <v>0</v>
      </c>
      <c r="O25" s="115">
        <v>0</v>
      </c>
      <c r="P25" s="115">
        <v>0</v>
      </c>
      <c r="Q25" s="115">
        <v>0</v>
      </c>
      <c r="R25" s="152">
        <f t="shared" si="2"/>
        <v>0</v>
      </c>
      <c r="S25" s="115">
        <v>0</v>
      </c>
      <c r="T25" s="115">
        <v>0</v>
      </c>
      <c r="U25" s="115">
        <v>0</v>
      </c>
      <c r="V25" s="115">
        <v>0</v>
      </c>
      <c r="W25" s="152">
        <f t="shared" si="3"/>
        <v>0</v>
      </c>
      <c r="X25" s="115">
        <v>0</v>
      </c>
      <c r="Y25" s="115">
        <v>0</v>
      </c>
      <c r="Z25" s="51">
        <v>0</v>
      </c>
      <c r="AA25" s="115">
        <v>0</v>
      </c>
      <c r="AB25" s="115">
        <f t="shared" si="5"/>
        <v>0</v>
      </c>
      <c r="AC25" s="115">
        <v>0</v>
      </c>
      <c r="AD25" s="115">
        <v>0</v>
      </c>
      <c r="AE25" s="115">
        <v>0</v>
      </c>
      <c r="AF25" s="115">
        <v>0</v>
      </c>
      <c r="AG25" s="152">
        <v>0</v>
      </c>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f t="shared" si="4"/>
        <v>30</v>
      </c>
      <c r="BM25" s="202"/>
    </row>
    <row r="26" spans="1:65">
      <c r="B26" s="204"/>
      <c r="C26" s="116" t="s">
        <v>190</v>
      </c>
      <c r="D26" s="51">
        <v>0</v>
      </c>
      <c r="E26" s="115">
        <v>0</v>
      </c>
      <c r="F26" s="51">
        <v>0</v>
      </c>
      <c r="G26" s="115">
        <v>0</v>
      </c>
      <c r="H26" s="152">
        <f t="shared" si="0"/>
        <v>0</v>
      </c>
      <c r="I26" s="115">
        <v>0</v>
      </c>
      <c r="J26" s="115">
        <v>0</v>
      </c>
      <c r="K26" s="51">
        <v>0</v>
      </c>
      <c r="L26" s="51">
        <v>0</v>
      </c>
      <c r="M26" s="152">
        <f t="shared" si="1"/>
        <v>0</v>
      </c>
      <c r="N26" s="115">
        <v>0</v>
      </c>
      <c r="O26" s="115">
        <v>0</v>
      </c>
      <c r="P26" s="115">
        <v>0</v>
      </c>
      <c r="Q26" s="115">
        <v>0</v>
      </c>
      <c r="R26" s="152">
        <f t="shared" si="2"/>
        <v>0</v>
      </c>
      <c r="S26" s="115">
        <v>0</v>
      </c>
      <c r="T26" s="115">
        <v>0</v>
      </c>
      <c r="U26" s="115">
        <v>0</v>
      </c>
      <c r="V26" s="115">
        <v>0</v>
      </c>
      <c r="W26" s="152">
        <f t="shared" si="3"/>
        <v>0</v>
      </c>
      <c r="X26" s="115">
        <v>0</v>
      </c>
      <c r="Y26" s="115">
        <v>0</v>
      </c>
      <c r="Z26" s="51">
        <v>0</v>
      </c>
      <c r="AA26" s="115">
        <v>0</v>
      </c>
      <c r="AB26" s="115">
        <f t="shared" si="5"/>
        <v>0</v>
      </c>
      <c r="AC26" s="115">
        <v>0</v>
      </c>
      <c r="AD26" s="115">
        <v>0</v>
      </c>
      <c r="AE26" s="115">
        <v>0</v>
      </c>
      <c r="AF26" s="115">
        <v>0</v>
      </c>
      <c r="AG26" s="152">
        <v>0</v>
      </c>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f t="shared" si="4"/>
        <v>0</v>
      </c>
      <c r="BM26" s="202"/>
    </row>
    <row r="27" spans="1:65">
      <c r="A27" s="113"/>
      <c r="B27" s="200" t="s">
        <v>197</v>
      </c>
      <c r="C27" s="114" t="s">
        <v>189</v>
      </c>
      <c r="D27" s="51">
        <v>0</v>
      </c>
      <c r="E27" s="152">
        <v>1</v>
      </c>
      <c r="F27" s="152">
        <v>2</v>
      </c>
      <c r="G27" s="115">
        <v>0</v>
      </c>
      <c r="H27" s="152">
        <f t="shared" si="0"/>
        <v>3</v>
      </c>
      <c r="I27" s="115">
        <v>0</v>
      </c>
      <c r="J27" s="115">
        <v>0</v>
      </c>
      <c r="K27" s="51">
        <v>0</v>
      </c>
      <c r="L27" s="152">
        <f>3+31</f>
        <v>34</v>
      </c>
      <c r="M27" s="152">
        <f t="shared" si="1"/>
        <v>34</v>
      </c>
      <c r="N27" s="115">
        <v>0</v>
      </c>
      <c r="O27" s="115">
        <v>0</v>
      </c>
      <c r="P27" s="115">
        <v>0</v>
      </c>
      <c r="Q27" s="115">
        <v>0</v>
      </c>
      <c r="R27" s="152">
        <f t="shared" si="2"/>
        <v>0</v>
      </c>
      <c r="S27" s="115">
        <v>0</v>
      </c>
      <c r="T27" s="115">
        <v>0</v>
      </c>
      <c r="U27" s="115">
        <v>0</v>
      </c>
      <c r="V27" s="115">
        <v>0</v>
      </c>
      <c r="W27" s="152">
        <f t="shared" si="3"/>
        <v>0</v>
      </c>
      <c r="X27" s="115">
        <v>0</v>
      </c>
      <c r="Y27" s="115">
        <v>0</v>
      </c>
      <c r="Z27" s="51">
        <v>0</v>
      </c>
      <c r="AA27" s="115">
        <v>0</v>
      </c>
      <c r="AB27" s="115">
        <f t="shared" si="5"/>
        <v>0</v>
      </c>
      <c r="AC27" s="115">
        <v>0</v>
      </c>
      <c r="AD27" s="115">
        <v>0</v>
      </c>
      <c r="AE27" s="115">
        <v>0</v>
      </c>
      <c r="AF27" s="115">
        <v>0</v>
      </c>
      <c r="AG27" s="152">
        <v>0</v>
      </c>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f t="shared" si="4"/>
        <v>37</v>
      </c>
      <c r="BM27" s="202"/>
    </row>
    <row r="28" spans="1:65">
      <c r="A28" s="113"/>
      <c r="B28" s="200"/>
      <c r="C28" s="114" t="s">
        <v>190</v>
      </c>
      <c r="D28" s="51">
        <v>0</v>
      </c>
      <c r="E28" s="115">
        <v>0</v>
      </c>
      <c r="F28" s="115">
        <v>0</v>
      </c>
      <c r="G28" s="115">
        <v>0</v>
      </c>
      <c r="H28" s="152">
        <f t="shared" si="0"/>
        <v>0</v>
      </c>
      <c r="I28" s="115">
        <v>0</v>
      </c>
      <c r="J28" s="115">
        <v>0</v>
      </c>
      <c r="K28" s="51">
        <v>0</v>
      </c>
      <c r="L28" s="152">
        <v>1</v>
      </c>
      <c r="M28" s="152">
        <f t="shared" si="1"/>
        <v>1</v>
      </c>
      <c r="N28" s="115">
        <v>0</v>
      </c>
      <c r="O28" s="115">
        <v>0</v>
      </c>
      <c r="P28" s="115">
        <v>0</v>
      </c>
      <c r="Q28" s="115">
        <v>0</v>
      </c>
      <c r="R28" s="152">
        <f t="shared" si="2"/>
        <v>0</v>
      </c>
      <c r="S28" s="115">
        <v>0</v>
      </c>
      <c r="T28" s="115">
        <v>0</v>
      </c>
      <c r="U28" s="115">
        <v>0</v>
      </c>
      <c r="V28" s="115">
        <v>0</v>
      </c>
      <c r="W28" s="152">
        <f t="shared" si="3"/>
        <v>0</v>
      </c>
      <c r="X28" s="115">
        <v>0</v>
      </c>
      <c r="Y28" s="115">
        <v>0</v>
      </c>
      <c r="Z28" s="51">
        <v>0</v>
      </c>
      <c r="AA28" s="115">
        <v>0</v>
      </c>
      <c r="AB28" s="51">
        <f t="shared" si="5"/>
        <v>0</v>
      </c>
      <c r="AC28" s="115">
        <v>0</v>
      </c>
      <c r="AD28" s="115">
        <v>0</v>
      </c>
      <c r="AE28" s="115">
        <v>0</v>
      </c>
      <c r="AF28" s="115">
        <v>0</v>
      </c>
      <c r="AG28" s="152">
        <v>0</v>
      </c>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f t="shared" si="4"/>
        <v>1</v>
      </c>
      <c r="BM28" s="202"/>
    </row>
    <row r="29" spans="1:65">
      <c r="A29" s="113"/>
      <c r="B29" s="200" t="s">
        <v>198</v>
      </c>
      <c r="C29" s="114" t="s">
        <v>189</v>
      </c>
      <c r="D29" s="51">
        <v>0</v>
      </c>
      <c r="E29" s="115">
        <v>0</v>
      </c>
      <c r="F29" s="115">
        <v>0</v>
      </c>
      <c r="G29" s="115">
        <v>0</v>
      </c>
      <c r="H29" s="152">
        <f t="shared" si="0"/>
        <v>0</v>
      </c>
      <c r="I29" s="115">
        <v>0</v>
      </c>
      <c r="J29" s="152">
        <v>10</v>
      </c>
      <c r="K29" s="51">
        <v>0</v>
      </c>
      <c r="L29" s="115">
        <v>0</v>
      </c>
      <c r="M29" s="152">
        <f t="shared" si="1"/>
        <v>10</v>
      </c>
      <c r="N29" s="115">
        <v>0</v>
      </c>
      <c r="O29" s="115">
        <v>0</v>
      </c>
      <c r="P29" s="115">
        <v>0</v>
      </c>
      <c r="Q29" s="115">
        <v>0</v>
      </c>
      <c r="R29" s="152">
        <f t="shared" si="2"/>
        <v>0</v>
      </c>
      <c r="S29" s="115">
        <v>0</v>
      </c>
      <c r="T29" s="115">
        <v>0</v>
      </c>
      <c r="U29" s="115">
        <v>0</v>
      </c>
      <c r="V29" s="115">
        <v>0</v>
      </c>
      <c r="W29" s="152">
        <f t="shared" si="3"/>
        <v>0</v>
      </c>
      <c r="X29" s="115">
        <v>0</v>
      </c>
      <c r="Y29" s="115">
        <v>0</v>
      </c>
      <c r="Z29" s="152">
        <v>6</v>
      </c>
      <c r="AA29" s="115">
        <v>0</v>
      </c>
      <c r="AB29" s="152">
        <f t="shared" si="5"/>
        <v>6</v>
      </c>
      <c r="AC29" s="115">
        <v>0</v>
      </c>
      <c r="AD29" s="115">
        <v>0</v>
      </c>
      <c r="AE29" s="115">
        <v>0</v>
      </c>
      <c r="AF29" s="115">
        <v>0</v>
      </c>
      <c r="AG29" s="152">
        <v>0</v>
      </c>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f t="shared" si="4"/>
        <v>16</v>
      </c>
      <c r="BM29" s="202"/>
    </row>
    <row r="30" spans="1:65">
      <c r="A30" s="113"/>
      <c r="B30" s="200"/>
      <c r="C30" s="114" t="s">
        <v>190</v>
      </c>
      <c r="D30" s="51">
        <v>0</v>
      </c>
      <c r="E30" s="115">
        <v>0</v>
      </c>
      <c r="F30" s="115">
        <v>0</v>
      </c>
      <c r="G30" s="115">
        <v>0</v>
      </c>
      <c r="H30" s="152">
        <f t="shared" si="0"/>
        <v>0</v>
      </c>
      <c r="I30" s="115">
        <v>0</v>
      </c>
      <c r="J30" s="115">
        <v>0</v>
      </c>
      <c r="K30" s="51">
        <v>0</v>
      </c>
      <c r="L30" s="115">
        <v>0</v>
      </c>
      <c r="M30" s="152">
        <f t="shared" si="1"/>
        <v>0</v>
      </c>
      <c r="N30" s="115">
        <v>0</v>
      </c>
      <c r="O30" s="115">
        <v>0</v>
      </c>
      <c r="P30" s="115">
        <v>0</v>
      </c>
      <c r="Q30" s="115">
        <v>0</v>
      </c>
      <c r="R30" s="152">
        <f t="shared" si="2"/>
        <v>0</v>
      </c>
      <c r="S30" s="115">
        <v>0</v>
      </c>
      <c r="T30" s="115">
        <v>0</v>
      </c>
      <c r="U30" s="115">
        <v>0</v>
      </c>
      <c r="V30" s="115">
        <v>0</v>
      </c>
      <c r="W30" s="152">
        <f t="shared" si="3"/>
        <v>0</v>
      </c>
      <c r="X30" s="115">
        <v>0</v>
      </c>
      <c r="Y30" s="115">
        <v>0</v>
      </c>
      <c r="Z30" s="115">
        <v>0</v>
      </c>
      <c r="AA30" s="115">
        <v>0</v>
      </c>
      <c r="AB30" s="115">
        <f t="shared" si="5"/>
        <v>0</v>
      </c>
      <c r="AC30" s="115">
        <v>0</v>
      </c>
      <c r="AD30" s="115">
        <v>0</v>
      </c>
      <c r="AE30" s="115">
        <v>0</v>
      </c>
      <c r="AF30" s="115">
        <v>0</v>
      </c>
      <c r="AG30" s="152">
        <v>0</v>
      </c>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f t="shared" si="4"/>
        <v>0</v>
      </c>
      <c r="BM30" s="202"/>
    </row>
    <row r="31" spans="1:65" s="113" customFormat="1">
      <c r="B31" s="200" t="s">
        <v>199</v>
      </c>
      <c r="C31" s="114" t="s">
        <v>189</v>
      </c>
      <c r="D31" s="51">
        <v>0</v>
      </c>
      <c r="E31" s="115">
        <v>0</v>
      </c>
      <c r="F31" s="115">
        <v>0</v>
      </c>
      <c r="G31" s="115">
        <v>0</v>
      </c>
      <c r="H31" s="152">
        <f t="shared" si="0"/>
        <v>0</v>
      </c>
      <c r="I31" s="115">
        <v>0</v>
      </c>
      <c r="J31" s="115">
        <v>0</v>
      </c>
      <c r="K31" s="51">
        <v>0</v>
      </c>
      <c r="L31" s="115">
        <v>0</v>
      </c>
      <c r="M31" s="152">
        <f t="shared" si="1"/>
        <v>0</v>
      </c>
      <c r="N31" s="152">
        <v>4</v>
      </c>
      <c r="O31" s="115">
        <v>0</v>
      </c>
      <c r="P31" s="115">
        <v>0</v>
      </c>
      <c r="Q31" s="115">
        <v>0</v>
      </c>
      <c r="R31" s="152">
        <f t="shared" si="2"/>
        <v>4</v>
      </c>
      <c r="S31" s="115">
        <v>0</v>
      </c>
      <c r="T31" s="115">
        <v>0</v>
      </c>
      <c r="U31" s="115">
        <v>0</v>
      </c>
      <c r="V31" s="115">
        <v>0</v>
      </c>
      <c r="W31" s="152">
        <f t="shared" si="3"/>
        <v>0</v>
      </c>
      <c r="X31" s="115">
        <v>0</v>
      </c>
      <c r="Y31" s="115">
        <v>0</v>
      </c>
      <c r="Z31" s="115">
        <v>0</v>
      </c>
      <c r="AA31" s="115">
        <v>0</v>
      </c>
      <c r="AB31" s="51">
        <f t="shared" si="5"/>
        <v>0</v>
      </c>
      <c r="AC31" s="115">
        <v>0</v>
      </c>
      <c r="AD31" s="115">
        <v>0</v>
      </c>
      <c r="AE31" s="115">
        <v>0</v>
      </c>
      <c r="AF31" s="115">
        <v>0</v>
      </c>
      <c r="AG31" s="152">
        <v>0</v>
      </c>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f t="shared" si="4"/>
        <v>4</v>
      </c>
      <c r="BM31" s="202"/>
    </row>
    <row r="32" spans="1:65" s="113" customFormat="1">
      <c r="B32" s="200"/>
      <c r="C32" s="114" t="s">
        <v>190</v>
      </c>
      <c r="D32" s="51">
        <v>0</v>
      </c>
      <c r="E32" s="115">
        <v>0</v>
      </c>
      <c r="F32" s="115">
        <v>0</v>
      </c>
      <c r="G32" s="115">
        <v>0</v>
      </c>
      <c r="H32" s="152">
        <f t="shared" si="0"/>
        <v>0</v>
      </c>
      <c r="I32" s="115">
        <v>0</v>
      </c>
      <c r="J32" s="115">
        <v>0</v>
      </c>
      <c r="K32" s="51">
        <v>0</v>
      </c>
      <c r="L32" s="115">
        <v>0</v>
      </c>
      <c r="M32" s="152">
        <f t="shared" si="1"/>
        <v>0</v>
      </c>
      <c r="N32" s="152">
        <v>2</v>
      </c>
      <c r="O32" s="115">
        <v>0</v>
      </c>
      <c r="P32" s="115">
        <v>0</v>
      </c>
      <c r="Q32" s="115">
        <v>0</v>
      </c>
      <c r="R32" s="152">
        <f t="shared" si="2"/>
        <v>2</v>
      </c>
      <c r="S32" s="115">
        <v>0</v>
      </c>
      <c r="T32" s="115">
        <v>0</v>
      </c>
      <c r="U32" s="115">
        <v>0</v>
      </c>
      <c r="V32" s="115">
        <v>0</v>
      </c>
      <c r="W32" s="152">
        <f t="shared" si="3"/>
        <v>0</v>
      </c>
      <c r="X32" s="115">
        <v>0</v>
      </c>
      <c r="Y32" s="115">
        <v>0</v>
      </c>
      <c r="Z32" s="115">
        <v>0</v>
      </c>
      <c r="AA32" s="115">
        <v>0</v>
      </c>
      <c r="AB32" s="115">
        <f t="shared" si="5"/>
        <v>0</v>
      </c>
      <c r="AC32" s="115">
        <v>0</v>
      </c>
      <c r="AD32" s="115">
        <v>0</v>
      </c>
      <c r="AE32" s="115">
        <v>0</v>
      </c>
      <c r="AF32" s="115">
        <v>0</v>
      </c>
      <c r="AG32" s="152">
        <v>0</v>
      </c>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f t="shared" si="4"/>
        <v>2</v>
      </c>
      <c r="BM32" s="202"/>
    </row>
    <row r="33" spans="1:65">
      <c r="A33" s="113"/>
      <c r="B33" s="200" t="s">
        <v>200</v>
      </c>
      <c r="C33" s="114" t="s">
        <v>189</v>
      </c>
      <c r="D33" s="51">
        <v>0</v>
      </c>
      <c r="E33" s="115">
        <v>0</v>
      </c>
      <c r="F33" s="115">
        <v>0</v>
      </c>
      <c r="G33" s="115">
        <v>0</v>
      </c>
      <c r="H33" s="152">
        <f t="shared" si="0"/>
        <v>0</v>
      </c>
      <c r="I33" s="115">
        <v>0</v>
      </c>
      <c r="J33" s="115">
        <v>0</v>
      </c>
      <c r="K33" s="51">
        <v>0</v>
      </c>
      <c r="L33" s="115">
        <v>0</v>
      </c>
      <c r="M33" s="152">
        <f t="shared" si="1"/>
        <v>0</v>
      </c>
      <c r="N33" s="115">
        <v>0</v>
      </c>
      <c r="O33" s="115">
        <v>0</v>
      </c>
      <c r="P33" s="115">
        <v>0</v>
      </c>
      <c r="Q33" s="115">
        <v>0</v>
      </c>
      <c r="R33" s="152">
        <f t="shared" si="2"/>
        <v>0</v>
      </c>
      <c r="S33" s="115">
        <v>0</v>
      </c>
      <c r="T33" s="115">
        <v>0</v>
      </c>
      <c r="U33" s="115">
        <v>0</v>
      </c>
      <c r="V33" s="115">
        <v>0</v>
      </c>
      <c r="W33" s="152">
        <f t="shared" si="3"/>
        <v>0</v>
      </c>
      <c r="X33" s="115">
        <v>0</v>
      </c>
      <c r="Y33" s="115">
        <v>0</v>
      </c>
      <c r="Z33" s="115">
        <v>0</v>
      </c>
      <c r="AA33" s="115">
        <v>0</v>
      </c>
      <c r="AB33" s="115">
        <f t="shared" si="5"/>
        <v>0</v>
      </c>
      <c r="AC33" s="115">
        <v>0</v>
      </c>
      <c r="AD33" s="115">
        <v>0</v>
      </c>
      <c r="AE33" s="115">
        <v>0</v>
      </c>
      <c r="AF33" s="115">
        <v>0</v>
      </c>
      <c r="AG33" s="152">
        <v>0</v>
      </c>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f t="shared" si="4"/>
        <v>0</v>
      </c>
      <c r="BM33" s="202"/>
    </row>
    <row r="34" spans="1:65">
      <c r="A34" s="113"/>
      <c r="B34" s="200"/>
      <c r="C34" s="114" t="s">
        <v>190</v>
      </c>
      <c r="D34" s="51">
        <v>0</v>
      </c>
      <c r="E34" s="115">
        <v>0</v>
      </c>
      <c r="F34" s="115">
        <v>0</v>
      </c>
      <c r="G34" s="115">
        <v>0</v>
      </c>
      <c r="H34" s="152">
        <f t="shared" si="0"/>
        <v>0</v>
      </c>
      <c r="I34" s="115">
        <v>0</v>
      </c>
      <c r="J34" s="152">
        <v>1</v>
      </c>
      <c r="K34" s="51">
        <v>0</v>
      </c>
      <c r="L34" s="115">
        <v>0</v>
      </c>
      <c r="M34" s="152">
        <f t="shared" si="1"/>
        <v>1</v>
      </c>
      <c r="N34" s="115">
        <v>0</v>
      </c>
      <c r="O34" s="115">
        <v>0</v>
      </c>
      <c r="P34" s="115">
        <v>0</v>
      </c>
      <c r="Q34" s="115">
        <v>0</v>
      </c>
      <c r="R34" s="152">
        <f t="shared" si="2"/>
        <v>0</v>
      </c>
      <c r="S34" s="115">
        <v>0</v>
      </c>
      <c r="T34" s="115">
        <v>0</v>
      </c>
      <c r="U34" s="115">
        <v>0</v>
      </c>
      <c r="V34" s="115">
        <v>0</v>
      </c>
      <c r="W34" s="152">
        <f t="shared" si="3"/>
        <v>0</v>
      </c>
      <c r="X34" s="115">
        <v>0</v>
      </c>
      <c r="Y34" s="115">
        <v>0</v>
      </c>
      <c r="Z34" s="115">
        <v>0</v>
      </c>
      <c r="AA34" s="115">
        <v>0</v>
      </c>
      <c r="AB34" s="115">
        <f t="shared" si="5"/>
        <v>0</v>
      </c>
      <c r="AC34" s="115">
        <v>0</v>
      </c>
      <c r="AD34" s="115">
        <v>0</v>
      </c>
      <c r="AE34" s="115">
        <v>0</v>
      </c>
      <c r="AF34" s="115">
        <v>0</v>
      </c>
      <c r="AG34" s="152">
        <v>0</v>
      </c>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f t="shared" si="4"/>
        <v>1</v>
      </c>
      <c r="BM34" s="202"/>
    </row>
    <row r="35" spans="1:65">
      <c r="B35" s="205" t="s">
        <v>201</v>
      </c>
      <c r="C35" s="116" t="s">
        <v>189</v>
      </c>
      <c r="D35" s="51">
        <v>0</v>
      </c>
      <c r="E35" s="115">
        <v>0</v>
      </c>
      <c r="F35" s="115">
        <v>0</v>
      </c>
      <c r="G35" s="115">
        <v>0</v>
      </c>
      <c r="H35" s="152">
        <f t="shared" si="0"/>
        <v>0</v>
      </c>
      <c r="I35" s="51">
        <v>0</v>
      </c>
      <c r="J35">
        <v>0</v>
      </c>
      <c r="K35" s="51">
        <v>0</v>
      </c>
      <c r="L35" s="115">
        <v>0</v>
      </c>
      <c r="M35" s="152">
        <f t="shared" si="1"/>
        <v>0</v>
      </c>
      <c r="N35" s="115">
        <v>0</v>
      </c>
      <c r="O35" s="115">
        <v>0</v>
      </c>
      <c r="P35" s="115">
        <v>0</v>
      </c>
      <c r="Q35" s="115">
        <v>0</v>
      </c>
      <c r="R35" s="152">
        <f t="shared" si="2"/>
        <v>0</v>
      </c>
      <c r="S35" s="115">
        <v>0</v>
      </c>
      <c r="T35" s="115">
        <v>0</v>
      </c>
      <c r="U35" s="115">
        <v>0</v>
      </c>
      <c r="V35" s="115">
        <v>0</v>
      </c>
      <c r="W35" s="152">
        <f t="shared" si="3"/>
        <v>0</v>
      </c>
      <c r="X35" s="115">
        <v>0</v>
      </c>
      <c r="Y35" s="115">
        <v>0</v>
      </c>
      <c r="Z35" s="115">
        <v>0</v>
      </c>
      <c r="AA35" s="115">
        <v>0</v>
      </c>
      <c r="AB35" s="51">
        <f t="shared" si="5"/>
        <v>0</v>
      </c>
      <c r="AC35" s="115">
        <v>0</v>
      </c>
      <c r="AD35" s="115">
        <v>0</v>
      </c>
      <c r="AE35" s="115">
        <v>0</v>
      </c>
      <c r="AF35" s="115">
        <v>0</v>
      </c>
      <c r="AG35" s="152">
        <v>0</v>
      </c>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f t="shared" si="4"/>
        <v>0</v>
      </c>
      <c r="BM35" s="202"/>
    </row>
    <row r="36" spans="1:65">
      <c r="B36" s="206"/>
      <c r="C36" s="116" t="s">
        <v>190</v>
      </c>
      <c r="D36" s="51">
        <v>0</v>
      </c>
      <c r="E36" s="115">
        <v>0</v>
      </c>
      <c r="F36" s="115">
        <v>0</v>
      </c>
      <c r="G36" s="115">
        <v>0</v>
      </c>
      <c r="H36" s="152">
        <f t="shared" si="0"/>
        <v>0</v>
      </c>
      <c r="I36" s="51">
        <v>0</v>
      </c>
      <c r="J36">
        <v>0</v>
      </c>
      <c r="K36" s="51">
        <v>0</v>
      </c>
      <c r="L36" s="115">
        <v>0</v>
      </c>
      <c r="M36" s="152">
        <f t="shared" si="1"/>
        <v>0</v>
      </c>
      <c r="N36" s="115">
        <v>0</v>
      </c>
      <c r="O36" s="115">
        <v>0</v>
      </c>
      <c r="P36" s="115">
        <v>0</v>
      </c>
      <c r="Q36" s="115">
        <v>0</v>
      </c>
      <c r="R36" s="152">
        <f t="shared" si="2"/>
        <v>0</v>
      </c>
      <c r="S36" s="115">
        <v>0</v>
      </c>
      <c r="T36" s="115">
        <v>0</v>
      </c>
      <c r="U36" s="115">
        <v>0</v>
      </c>
      <c r="V36" s="115">
        <v>0</v>
      </c>
      <c r="W36" s="152">
        <f t="shared" si="3"/>
        <v>0</v>
      </c>
      <c r="X36" s="115">
        <v>0</v>
      </c>
      <c r="Y36" s="115">
        <v>0</v>
      </c>
      <c r="Z36" s="115">
        <v>0</v>
      </c>
      <c r="AA36" s="115">
        <v>0</v>
      </c>
      <c r="AB36" s="115">
        <f t="shared" si="5"/>
        <v>0</v>
      </c>
      <c r="AC36" s="115">
        <v>0</v>
      </c>
      <c r="AD36" s="115">
        <v>0</v>
      </c>
      <c r="AE36" s="115">
        <v>0</v>
      </c>
      <c r="AF36" s="115">
        <v>0</v>
      </c>
      <c r="AG36" s="152">
        <v>0</v>
      </c>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f t="shared" si="4"/>
        <v>0</v>
      </c>
      <c r="BM36" s="202"/>
    </row>
    <row r="37" spans="1:65">
      <c r="B37" s="205" t="s">
        <v>202</v>
      </c>
      <c r="C37" s="116" t="s">
        <v>189</v>
      </c>
      <c r="D37" s="153">
        <v>2</v>
      </c>
      <c r="E37" s="115">
        <v>0</v>
      </c>
      <c r="F37" s="115">
        <v>0</v>
      </c>
      <c r="G37" s="115">
        <v>0</v>
      </c>
      <c r="H37" s="152">
        <f t="shared" si="0"/>
        <v>2</v>
      </c>
      <c r="I37" s="51">
        <v>0</v>
      </c>
      <c r="J37">
        <v>0</v>
      </c>
      <c r="K37" s="51">
        <v>0</v>
      </c>
      <c r="L37" s="115">
        <v>0</v>
      </c>
      <c r="M37" s="152">
        <f t="shared" si="1"/>
        <v>0</v>
      </c>
      <c r="N37" s="115">
        <v>0</v>
      </c>
      <c r="O37" s="115">
        <v>0</v>
      </c>
      <c r="P37" s="115">
        <v>0</v>
      </c>
      <c r="Q37" s="115">
        <v>0</v>
      </c>
      <c r="R37" s="152">
        <f t="shared" si="2"/>
        <v>0</v>
      </c>
      <c r="S37" s="115">
        <v>0</v>
      </c>
      <c r="T37" s="115">
        <v>0</v>
      </c>
      <c r="U37" s="115">
        <v>0</v>
      </c>
      <c r="V37" s="115">
        <v>0</v>
      </c>
      <c r="W37" s="152">
        <f t="shared" si="3"/>
        <v>0</v>
      </c>
      <c r="X37" s="115">
        <v>0</v>
      </c>
      <c r="Y37" s="115">
        <v>0</v>
      </c>
      <c r="Z37" s="115">
        <v>0</v>
      </c>
      <c r="AA37" s="115">
        <v>0</v>
      </c>
      <c r="AB37" s="115">
        <f t="shared" si="5"/>
        <v>0</v>
      </c>
      <c r="AC37" s="115">
        <v>0</v>
      </c>
      <c r="AD37" s="115">
        <v>0</v>
      </c>
      <c r="AE37" s="115">
        <v>0</v>
      </c>
      <c r="AF37" s="115">
        <v>0</v>
      </c>
      <c r="AG37" s="152">
        <v>0</v>
      </c>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f t="shared" si="4"/>
        <v>2</v>
      </c>
      <c r="BM37" s="202"/>
    </row>
    <row r="38" spans="1:65">
      <c r="B38" s="206"/>
      <c r="C38" s="116" t="s">
        <v>190</v>
      </c>
      <c r="D38" s="153">
        <v>2</v>
      </c>
      <c r="E38" s="115">
        <v>0</v>
      </c>
      <c r="F38" s="115">
        <v>0</v>
      </c>
      <c r="G38" s="115">
        <v>0</v>
      </c>
      <c r="H38" s="152">
        <f t="shared" si="0"/>
        <v>2</v>
      </c>
      <c r="I38" s="51">
        <v>0</v>
      </c>
      <c r="J38">
        <v>0</v>
      </c>
      <c r="K38" s="51">
        <v>0</v>
      </c>
      <c r="L38" s="115">
        <v>0</v>
      </c>
      <c r="M38" s="152">
        <f t="shared" si="1"/>
        <v>0</v>
      </c>
      <c r="N38" s="115">
        <v>0</v>
      </c>
      <c r="O38" s="115">
        <v>0</v>
      </c>
      <c r="P38" s="115">
        <v>0</v>
      </c>
      <c r="Q38" s="115">
        <v>0</v>
      </c>
      <c r="R38" s="152">
        <f t="shared" si="2"/>
        <v>0</v>
      </c>
      <c r="S38" s="115">
        <v>0</v>
      </c>
      <c r="T38" s="115">
        <v>0</v>
      </c>
      <c r="U38" s="115">
        <v>0</v>
      </c>
      <c r="V38" s="115">
        <v>0</v>
      </c>
      <c r="W38" s="152">
        <f t="shared" si="3"/>
        <v>0</v>
      </c>
      <c r="X38" s="115">
        <v>0</v>
      </c>
      <c r="Y38" s="115">
        <v>0</v>
      </c>
      <c r="Z38" s="115">
        <v>0</v>
      </c>
      <c r="AA38" s="115">
        <v>0</v>
      </c>
      <c r="AB38" s="51">
        <f t="shared" si="5"/>
        <v>0</v>
      </c>
      <c r="AC38" s="115">
        <v>0</v>
      </c>
      <c r="AD38" s="115">
        <v>0</v>
      </c>
      <c r="AE38" s="115">
        <v>0</v>
      </c>
      <c r="AF38" s="115">
        <v>0</v>
      </c>
      <c r="AG38" s="152">
        <v>0</v>
      </c>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f t="shared" si="4"/>
        <v>2</v>
      </c>
      <c r="BM38" s="203"/>
    </row>
    <row r="39" spans="1:65">
      <c r="B39" s="205" t="s">
        <v>203</v>
      </c>
      <c r="C39" s="116" t="s">
        <v>189</v>
      </c>
      <c r="D39" s="51">
        <v>0</v>
      </c>
      <c r="E39" s="115">
        <v>0</v>
      </c>
      <c r="F39" s="115">
        <v>0</v>
      </c>
      <c r="G39" s="115">
        <v>0</v>
      </c>
      <c r="H39" s="152">
        <f t="shared" si="0"/>
        <v>0</v>
      </c>
      <c r="I39" s="51">
        <v>0</v>
      </c>
      <c r="J39">
        <v>0</v>
      </c>
      <c r="K39" s="51">
        <v>0</v>
      </c>
      <c r="L39" s="153">
        <v>20</v>
      </c>
      <c r="M39" s="152">
        <f t="shared" si="1"/>
        <v>20</v>
      </c>
      <c r="N39" s="115">
        <v>0</v>
      </c>
      <c r="O39" s="115">
        <v>0</v>
      </c>
      <c r="P39" s="115">
        <v>0</v>
      </c>
      <c r="Q39" s="115">
        <v>0</v>
      </c>
      <c r="R39" s="152">
        <f t="shared" si="2"/>
        <v>0</v>
      </c>
      <c r="S39" s="115">
        <v>0</v>
      </c>
      <c r="T39" s="115">
        <v>0</v>
      </c>
      <c r="U39" s="115">
        <v>0</v>
      </c>
      <c r="V39" s="115">
        <v>0</v>
      </c>
      <c r="W39" s="152">
        <f t="shared" si="3"/>
        <v>0</v>
      </c>
      <c r="X39" s="115">
        <v>0</v>
      </c>
      <c r="Y39" s="115">
        <v>0</v>
      </c>
      <c r="Z39" s="115">
        <v>0</v>
      </c>
      <c r="AA39" s="115">
        <v>0</v>
      </c>
      <c r="AB39" s="115">
        <f t="shared" si="5"/>
        <v>0</v>
      </c>
      <c r="AC39" s="115">
        <v>0</v>
      </c>
      <c r="AD39" s="115">
        <v>0</v>
      </c>
      <c r="AE39" s="115">
        <v>0</v>
      </c>
      <c r="AF39" s="115">
        <v>0</v>
      </c>
      <c r="AG39" s="152">
        <v>0</v>
      </c>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f t="shared" si="4"/>
        <v>20</v>
      </c>
      <c r="BM39" s="195">
        <f>SUM(BL39:BL40)</f>
        <v>60</v>
      </c>
    </row>
    <row r="40" spans="1:65">
      <c r="B40" s="206"/>
      <c r="C40" s="116" t="s">
        <v>190</v>
      </c>
      <c r="D40" s="51">
        <v>0</v>
      </c>
      <c r="E40" s="115">
        <v>0</v>
      </c>
      <c r="F40" s="115">
        <v>0</v>
      </c>
      <c r="G40" s="115">
        <v>0</v>
      </c>
      <c r="H40" s="152">
        <f t="shared" si="0"/>
        <v>0</v>
      </c>
      <c r="I40" s="51">
        <v>0</v>
      </c>
      <c r="J40">
        <v>0</v>
      </c>
      <c r="K40" s="51">
        <v>0</v>
      </c>
      <c r="L40" s="153">
        <v>40</v>
      </c>
      <c r="M40" s="152">
        <f t="shared" si="1"/>
        <v>40</v>
      </c>
      <c r="N40" s="115">
        <v>0</v>
      </c>
      <c r="O40" s="115">
        <v>0</v>
      </c>
      <c r="P40" s="115">
        <v>0</v>
      </c>
      <c r="Q40" s="115">
        <v>0</v>
      </c>
      <c r="R40" s="152">
        <f t="shared" si="2"/>
        <v>0</v>
      </c>
      <c r="S40" s="115">
        <v>0</v>
      </c>
      <c r="T40" s="115">
        <v>0</v>
      </c>
      <c r="U40" s="115">
        <v>0</v>
      </c>
      <c r="V40" s="115">
        <v>0</v>
      </c>
      <c r="W40" s="152">
        <f t="shared" si="3"/>
        <v>0</v>
      </c>
      <c r="X40" s="115">
        <v>0</v>
      </c>
      <c r="Y40" s="115">
        <v>0</v>
      </c>
      <c r="Z40" s="115">
        <v>0</v>
      </c>
      <c r="AA40" s="115">
        <v>0</v>
      </c>
      <c r="AB40" s="115">
        <f t="shared" si="5"/>
        <v>0</v>
      </c>
      <c r="AC40" s="115">
        <v>0</v>
      </c>
      <c r="AD40" s="115">
        <v>0</v>
      </c>
      <c r="AE40" s="115">
        <v>0</v>
      </c>
      <c r="AF40" s="115">
        <v>0</v>
      </c>
      <c r="AG40" s="152">
        <v>0</v>
      </c>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f t="shared" si="4"/>
        <v>40</v>
      </c>
      <c r="BM40" s="195"/>
    </row>
    <row r="41" spans="1:65">
      <c r="B41" s="199" t="s">
        <v>204</v>
      </c>
      <c r="C41" s="116" t="s">
        <v>189</v>
      </c>
      <c r="D41" s="51">
        <v>0</v>
      </c>
      <c r="E41" s="115">
        <v>0</v>
      </c>
      <c r="F41" s="115">
        <v>0</v>
      </c>
      <c r="G41" s="115">
        <v>0</v>
      </c>
      <c r="H41" s="152">
        <f t="shared" si="0"/>
        <v>0</v>
      </c>
      <c r="I41" s="51">
        <v>0</v>
      </c>
      <c r="J41" s="153">
        <v>2</v>
      </c>
      <c r="K41" s="51">
        <v>0</v>
      </c>
      <c r="L41" s="51"/>
      <c r="M41" s="152">
        <f t="shared" si="1"/>
        <v>2</v>
      </c>
      <c r="N41" s="115">
        <v>0</v>
      </c>
      <c r="O41" s="115">
        <v>0</v>
      </c>
      <c r="P41" s="115">
        <v>0</v>
      </c>
      <c r="Q41" s="115">
        <v>0</v>
      </c>
      <c r="R41" s="152">
        <f t="shared" si="2"/>
        <v>0</v>
      </c>
      <c r="S41" s="115">
        <v>0</v>
      </c>
      <c r="T41" s="115">
        <v>0</v>
      </c>
      <c r="U41" s="115">
        <v>0</v>
      </c>
      <c r="V41" s="115">
        <v>0</v>
      </c>
      <c r="W41" s="152">
        <f t="shared" si="3"/>
        <v>0</v>
      </c>
      <c r="X41" s="115">
        <v>0</v>
      </c>
      <c r="Y41" s="115">
        <v>0</v>
      </c>
      <c r="Z41" s="115">
        <v>0</v>
      </c>
      <c r="AA41" s="115">
        <v>0</v>
      </c>
      <c r="AB41" s="115">
        <f t="shared" si="5"/>
        <v>0</v>
      </c>
      <c r="AC41" s="115">
        <v>0</v>
      </c>
      <c r="AD41" s="115">
        <v>0</v>
      </c>
      <c r="AE41" s="115">
        <v>0</v>
      </c>
      <c r="AF41" s="115">
        <v>0</v>
      </c>
      <c r="AG41" s="152">
        <v>0</v>
      </c>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f t="shared" si="4"/>
        <v>2</v>
      </c>
      <c r="BM41" s="195">
        <f>SUM(BL41:BL42)</f>
        <v>2</v>
      </c>
    </row>
    <row r="42" spans="1:65" ht="26.25" customHeight="1">
      <c r="B42" s="199"/>
      <c r="C42" s="116" t="s">
        <v>190</v>
      </c>
      <c r="D42" s="51">
        <v>0</v>
      </c>
      <c r="E42" s="115">
        <v>0</v>
      </c>
      <c r="F42" s="115">
        <v>0</v>
      </c>
      <c r="G42" s="115">
        <v>0</v>
      </c>
      <c r="H42" s="152">
        <f t="shared" si="0"/>
        <v>0</v>
      </c>
      <c r="I42" s="51">
        <v>0</v>
      </c>
      <c r="J42" s="51">
        <v>0</v>
      </c>
      <c r="K42" s="51">
        <v>0</v>
      </c>
      <c r="L42" s="51"/>
      <c r="M42" s="152">
        <f t="shared" si="1"/>
        <v>0</v>
      </c>
      <c r="N42" s="115">
        <v>0</v>
      </c>
      <c r="O42" s="115">
        <v>0</v>
      </c>
      <c r="P42" s="115">
        <v>0</v>
      </c>
      <c r="Q42" s="115">
        <v>0</v>
      </c>
      <c r="R42" s="152">
        <f t="shared" si="2"/>
        <v>0</v>
      </c>
      <c r="S42" s="115">
        <v>0</v>
      </c>
      <c r="T42" s="115">
        <v>0</v>
      </c>
      <c r="U42" s="115">
        <v>0</v>
      </c>
      <c r="V42" s="115">
        <v>0</v>
      </c>
      <c r="W42" s="152">
        <f t="shared" si="3"/>
        <v>0</v>
      </c>
      <c r="X42" s="115">
        <v>0</v>
      </c>
      <c r="Y42" s="115">
        <v>0</v>
      </c>
      <c r="Z42" s="115">
        <v>0</v>
      </c>
      <c r="AA42" s="115">
        <v>0</v>
      </c>
      <c r="AB42" s="51">
        <f t="shared" si="5"/>
        <v>0</v>
      </c>
      <c r="AC42" s="115">
        <v>0</v>
      </c>
      <c r="AD42" s="115">
        <v>0</v>
      </c>
      <c r="AE42" s="115">
        <v>0</v>
      </c>
      <c r="AF42" s="115">
        <v>0</v>
      </c>
      <c r="AG42" s="152">
        <v>0</v>
      </c>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f t="shared" si="4"/>
        <v>0</v>
      </c>
      <c r="BM42" s="195"/>
    </row>
    <row r="43" spans="1:65" ht="24.75" customHeight="1">
      <c r="A43" s="113"/>
      <c r="B43" s="197" t="s">
        <v>205</v>
      </c>
      <c r="C43" s="114" t="s">
        <v>189</v>
      </c>
      <c r="D43" s="51">
        <v>0</v>
      </c>
      <c r="E43" s="115">
        <v>0</v>
      </c>
      <c r="F43" s="115">
        <v>0</v>
      </c>
      <c r="G43" s="115">
        <v>0</v>
      </c>
      <c r="H43" s="152">
        <f t="shared" si="0"/>
        <v>0</v>
      </c>
      <c r="I43" s="51">
        <v>0</v>
      </c>
      <c r="J43" s="115">
        <v>0</v>
      </c>
      <c r="K43" s="51">
        <v>0</v>
      </c>
      <c r="L43" s="152">
        <v>3</v>
      </c>
      <c r="M43" s="152">
        <f t="shared" si="1"/>
        <v>3</v>
      </c>
      <c r="N43" s="115">
        <v>0</v>
      </c>
      <c r="O43" s="115">
        <v>0</v>
      </c>
      <c r="P43" s="115">
        <v>0</v>
      </c>
      <c r="Q43" s="115">
        <v>0</v>
      </c>
      <c r="R43" s="152">
        <f t="shared" si="2"/>
        <v>0</v>
      </c>
      <c r="S43" s="115">
        <v>0</v>
      </c>
      <c r="T43" s="115">
        <v>0</v>
      </c>
      <c r="U43" s="115">
        <v>0</v>
      </c>
      <c r="V43" s="115">
        <v>0</v>
      </c>
      <c r="W43" s="152">
        <f t="shared" si="3"/>
        <v>0</v>
      </c>
      <c r="X43" s="115">
        <v>0</v>
      </c>
      <c r="Y43" s="115">
        <v>0</v>
      </c>
      <c r="Z43" s="115">
        <v>0</v>
      </c>
      <c r="AA43" s="115">
        <v>0</v>
      </c>
      <c r="AB43" s="115">
        <f t="shared" si="5"/>
        <v>0</v>
      </c>
      <c r="AC43" s="115">
        <v>0</v>
      </c>
      <c r="AD43" s="115">
        <v>0</v>
      </c>
      <c r="AE43" s="115">
        <v>0</v>
      </c>
      <c r="AF43" s="115">
        <v>0</v>
      </c>
      <c r="AG43" s="152">
        <v>0</v>
      </c>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51"/>
      <c r="BL43" s="115">
        <f t="shared" si="4"/>
        <v>3</v>
      </c>
      <c r="BM43" s="198">
        <f>SUM(BL43:BL44)</f>
        <v>3</v>
      </c>
    </row>
    <row r="44" spans="1:65" ht="24" customHeight="1">
      <c r="A44" s="113"/>
      <c r="B44" s="197"/>
      <c r="C44" s="114" t="s">
        <v>190</v>
      </c>
      <c r="D44" s="51">
        <v>0</v>
      </c>
      <c r="E44" s="115">
        <v>0</v>
      </c>
      <c r="F44" s="115">
        <v>0</v>
      </c>
      <c r="G44" s="115">
        <v>0</v>
      </c>
      <c r="H44" s="152">
        <f t="shared" si="0"/>
        <v>0</v>
      </c>
      <c r="I44" s="51">
        <v>0</v>
      </c>
      <c r="J44" s="115">
        <v>0</v>
      </c>
      <c r="K44" s="51">
        <v>0</v>
      </c>
      <c r="L44" s="115">
        <v>0</v>
      </c>
      <c r="M44" s="152">
        <f t="shared" si="1"/>
        <v>0</v>
      </c>
      <c r="N44" s="115">
        <v>0</v>
      </c>
      <c r="O44" s="115">
        <v>0</v>
      </c>
      <c r="P44" s="115">
        <v>0</v>
      </c>
      <c r="Q44" s="115">
        <v>0</v>
      </c>
      <c r="R44" s="152">
        <f t="shared" si="2"/>
        <v>0</v>
      </c>
      <c r="S44" s="115">
        <v>0</v>
      </c>
      <c r="T44" s="115">
        <v>0</v>
      </c>
      <c r="U44" s="115">
        <v>0</v>
      </c>
      <c r="V44" s="115">
        <v>0</v>
      </c>
      <c r="W44" s="152">
        <f t="shared" si="3"/>
        <v>0</v>
      </c>
      <c r="X44" s="115">
        <v>0</v>
      </c>
      <c r="Y44" s="115">
        <v>0</v>
      </c>
      <c r="Z44" s="115">
        <v>0</v>
      </c>
      <c r="AA44" s="115">
        <v>0</v>
      </c>
      <c r="AB44" s="115">
        <f t="shared" si="5"/>
        <v>0</v>
      </c>
      <c r="AC44" s="115">
        <v>0</v>
      </c>
      <c r="AD44" s="115">
        <v>0</v>
      </c>
      <c r="AE44" s="115">
        <v>0</v>
      </c>
      <c r="AF44" s="115">
        <v>0</v>
      </c>
      <c r="AG44" s="152">
        <v>0</v>
      </c>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f t="shared" si="4"/>
        <v>0</v>
      </c>
      <c r="BM44" s="198"/>
    </row>
    <row r="45" spans="1:65" ht="27.75" customHeight="1">
      <c r="A45" s="113"/>
      <c r="B45" s="197" t="s">
        <v>206</v>
      </c>
      <c r="C45" s="114" t="s">
        <v>189</v>
      </c>
      <c r="D45" s="51">
        <v>0</v>
      </c>
      <c r="E45" s="152">
        <f>5+2+2+2+2+2+2</f>
        <v>17</v>
      </c>
      <c r="F45" s="115">
        <v>0</v>
      </c>
      <c r="G45" s="152">
        <v>11</v>
      </c>
      <c r="H45" s="152">
        <f t="shared" si="0"/>
        <v>28</v>
      </c>
      <c r="I45" s="152">
        <v>2</v>
      </c>
      <c r="J45" s="152">
        <v>2</v>
      </c>
      <c r="K45" s="51">
        <v>0</v>
      </c>
      <c r="L45" s="115">
        <v>0</v>
      </c>
      <c r="M45" s="152">
        <f t="shared" si="1"/>
        <v>4</v>
      </c>
      <c r="N45" s="115">
        <v>0</v>
      </c>
      <c r="O45" s="152">
        <f>5+2</f>
        <v>7</v>
      </c>
      <c r="P45" s="115">
        <v>0</v>
      </c>
      <c r="Q45" s="115">
        <v>0</v>
      </c>
      <c r="R45" s="152">
        <f t="shared" si="2"/>
        <v>7</v>
      </c>
      <c r="S45" s="115">
        <v>0</v>
      </c>
      <c r="T45" s="115">
        <v>0</v>
      </c>
      <c r="U45" s="115">
        <v>0</v>
      </c>
      <c r="V45" s="115">
        <v>0</v>
      </c>
      <c r="W45" s="152">
        <f t="shared" si="3"/>
        <v>0</v>
      </c>
      <c r="X45" s="115">
        <v>0</v>
      </c>
      <c r="Y45" s="115">
        <v>0</v>
      </c>
      <c r="Z45" s="115">
        <v>0</v>
      </c>
      <c r="AA45" s="115">
        <v>0</v>
      </c>
      <c r="AB45" s="51">
        <f t="shared" si="5"/>
        <v>0</v>
      </c>
      <c r="AC45" s="115">
        <v>0</v>
      </c>
      <c r="AD45" s="115">
        <v>0</v>
      </c>
      <c r="AE45" s="115">
        <v>0</v>
      </c>
      <c r="AF45" s="115">
        <v>0</v>
      </c>
      <c r="AG45" s="152">
        <v>0</v>
      </c>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f t="shared" si="4"/>
        <v>39</v>
      </c>
      <c r="BM45" s="198">
        <f>SUM(BL45:BL46)</f>
        <v>73</v>
      </c>
    </row>
    <row r="46" spans="1:65" ht="29.25" customHeight="1">
      <c r="A46" s="113"/>
      <c r="B46" s="197"/>
      <c r="C46" s="114" t="s">
        <v>190</v>
      </c>
      <c r="D46" s="51">
        <v>0</v>
      </c>
      <c r="E46" s="152">
        <f>5+2+2+2+2+2+2</f>
        <v>17</v>
      </c>
      <c r="F46" s="115">
        <v>0</v>
      </c>
      <c r="G46" s="152">
        <v>6</v>
      </c>
      <c r="H46" s="152">
        <f t="shared" si="0"/>
        <v>23</v>
      </c>
      <c r="I46" s="152">
        <v>2</v>
      </c>
      <c r="J46" s="152">
        <v>2</v>
      </c>
      <c r="K46" s="51">
        <v>0</v>
      </c>
      <c r="L46" s="115">
        <v>0</v>
      </c>
      <c r="M46" s="152">
        <f t="shared" si="1"/>
        <v>4</v>
      </c>
      <c r="N46" s="115">
        <v>0</v>
      </c>
      <c r="O46" s="152">
        <f>5+2</f>
        <v>7</v>
      </c>
      <c r="P46" s="115">
        <v>0</v>
      </c>
      <c r="Q46" s="115">
        <v>0</v>
      </c>
      <c r="R46" s="152">
        <f t="shared" si="2"/>
        <v>7</v>
      </c>
      <c r="S46" s="115">
        <v>0</v>
      </c>
      <c r="T46" s="115">
        <v>0</v>
      </c>
      <c r="U46" s="115">
        <v>0</v>
      </c>
      <c r="V46" s="115">
        <v>0</v>
      </c>
      <c r="W46" s="152">
        <f t="shared" si="3"/>
        <v>0</v>
      </c>
      <c r="X46" s="115">
        <v>0</v>
      </c>
      <c r="Y46" s="115">
        <v>0</v>
      </c>
      <c r="Z46" s="115">
        <v>0</v>
      </c>
      <c r="AA46" s="115">
        <v>0</v>
      </c>
      <c r="AB46" s="115">
        <f t="shared" si="5"/>
        <v>0</v>
      </c>
      <c r="AC46" s="115">
        <v>0</v>
      </c>
      <c r="AD46" s="115">
        <v>0</v>
      </c>
      <c r="AE46" s="115">
        <v>0</v>
      </c>
      <c r="AF46" s="115">
        <v>0</v>
      </c>
      <c r="AG46" s="152">
        <v>0</v>
      </c>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f t="shared" si="4"/>
        <v>34</v>
      </c>
      <c r="BM46" s="198"/>
    </row>
    <row r="47" spans="1:65">
      <c r="B47" s="199" t="s">
        <v>207</v>
      </c>
      <c r="C47" s="116" t="s">
        <v>189</v>
      </c>
      <c r="D47" s="51">
        <v>0</v>
      </c>
      <c r="E47" s="51">
        <v>0</v>
      </c>
      <c r="F47" s="51">
        <v>0</v>
      </c>
      <c r="G47" s="51">
        <v>0</v>
      </c>
      <c r="H47" s="152">
        <f t="shared" si="0"/>
        <v>0</v>
      </c>
      <c r="I47" s="51">
        <v>0</v>
      </c>
      <c r="J47" s="51">
        <v>0</v>
      </c>
      <c r="K47" s="51">
        <v>0</v>
      </c>
      <c r="L47" s="115">
        <v>0</v>
      </c>
      <c r="M47" s="152">
        <f t="shared" si="1"/>
        <v>0</v>
      </c>
      <c r="N47" s="115">
        <v>0</v>
      </c>
      <c r="O47" s="115">
        <v>0</v>
      </c>
      <c r="P47" s="115">
        <v>0</v>
      </c>
      <c r="Q47" s="115">
        <v>0</v>
      </c>
      <c r="R47" s="152">
        <f t="shared" si="2"/>
        <v>0</v>
      </c>
      <c r="S47" s="115">
        <v>0</v>
      </c>
      <c r="T47" s="115">
        <v>0</v>
      </c>
      <c r="U47" s="115">
        <v>0</v>
      </c>
      <c r="V47" s="115">
        <v>0</v>
      </c>
      <c r="W47" s="152">
        <f t="shared" si="3"/>
        <v>0</v>
      </c>
      <c r="X47" s="115">
        <v>0</v>
      </c>
      <c r="Y47" s="115">
        <v>0</v>
      </c>
      <c r="Z47" s="115">
        <v>0</v>
      </c>
      <c r="AA47" s="115">
        <v>0</v>
      </c>
      <c r="AB47" s="115">
        <f t="shared" si="5"/>
        <v>0</v>
      </c>
      <c r="AC47" s="115">
        <v>0</v>
      </c>
      <c r="AD47" s="115">
        <v>0</v>
      </c>
      <c r="AE47" s="115">
        <v>0</v>
      </c>
      <c r="AF47" s="115">
        <v>0</v>
      </c>
      <c r="AG47" s="152">
        <v>0</v>
      </c>
      <c r="AH47" s="51"/>
      <c r="AI47" s="51"/>
      <c r="AJ47" s="51"/>
      <c r="AK47" s="51"/>
      <c r="AL47" s="51"/>
      <c r="AM47" s="51"/>
      <c r="AN47" s="51"/>
      <c r="AO47" s="51"/>
      <c r="AP47" s="51"/>
      <c r="AQ47" s="51"/>
      <c r="AR47" s="51"/>
      <c r="AS47" s="51"/>
      <c r="AT47" s="51"/>
      <c r="AU47" s="51"/>
      <c r="AV47" s="51"/>
      <c r="AW47" s="51"/>
      <c r="AX47" s="51"/>
      <c r="AY47" s="51"/>
      <c r="AZ47" s="51"/>
      <c r="BA47" s="51"/>
      <c r="BB47" s="51"/>
      <c r="BC47" s="51"/>
      <c r="BD47" s="51"/>
      <c r="BE47" s="51"/>
      <c r="BF47" s="51"/>
      <c r="BG47" s="51"/>
      <c r="BH47" s="51"/>
      <c r="BI47" s="51"/>
      <c r="BJ47" s="51"/>
      <c r="BK47" s="51"/>
      <c r="BL47" s="51">
        <f t="shared" si="4"/>
        <v>0</v>
      </c>
      <c r="BM47" s="195">
        <f>SUM(BL47:BL48)</f>
        <v>0</v>
      </c>
    </row>
    <row r="48" spans="1:65" ht="30.75" customHeight="1">
      <c r="B48" s="199"/>
      <c r="C48" s="116" t="s">
        <v>190</v>
      </c>
      <c r="D48" s="51">
        <v>0</v>
      </c>
      <c r="E48" s="51">
        <v>0</v>
      </c>
      <c r="F48" s="51">
        <v>0</v>
      </c>
      <c r="G48" s="51">
        <v>0</v>
      </c>
      <c r="H48" s="152">
        <f t="shared" si="0"/>
        <v>0</v>
      </c>
      <c r="I48" s="51">
        <v>0</v>
      </c>
      <c r="J48" s="51"/>
      <c r="K48" s="51">
        <v>0</v>
      </c>
      <c r="L48" s="115">
        <v>0</v>
      </c>
      <c r="M48" s="152">
        <f t="shared" si="1"/>
        <v>0</v>
      </c>
      <c r="N48" s="115">
        <v>0</v>
      </c>
      <c r="O48" s="115">
        <v>0</v>
      </c>
      <c r="P48" s="115">
        <v>0</v>
      </c>
      <c r="Q48" s="115">
        <v>0</v>
      </c>
      <c r="R48" s="152">
        <f t="shared" si="2"/>
        <v>0</v>
      </c>
      <c r="S48" s="115">
        <v>0</v>
      </c>
      <c r="T48" s="115">
        <v>0</v>
      </c>
      <c r="U48" s="115">
        <v>0</v>
      </c>
      <c r="V48" s="115">
        <v>0</v>
      </c>
      <c r="W48" s="152">
        <f t="shared" si="3"/>
        <v>0</v>
      </c>
      <c r="X48" s="115">
        <v>0</v>
      </c>
      <c r="Y48" s="115">
        <v>0</v>
      </c>
      <c r="Z48" s="115">
        <v>0</v>
      </c>
      <c r="AA48" s="115">
        <v>0</v>
      </c>
      <c r="AB48" s="115">
        <f t="shared" si="5"/>
        <v>0</v>
      </c>
      <c r="AC48" s="115">
        <v>0</v>
      </c>
      <c r="AD48" s="115">
        <v>0</v>
      </c>
      <c r="AE48" s="115">
        <v>0</v>
      </c>
      <c r="AF48" s="115">
        <v>0</v>
      </c>
      <c r="AG48" s="152">
        <v>0</v>
      </c>
      <c r="AH48" s="51"/>
      <c r="AI48" s="51"/>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f t="shared" si="4"/>
        <v>0</v>
      </c>
      <c r="BM48" s="195"/>
    </row>
    <row r="49" spans="2:65">
      <c r="B49" s="196" t="s">
        <v>208</v>
      </c>
      <c r="C49" s="196"/>
      <c r="D49" s="196"/>
      <c r="E49" s="196"/>
      <c r="F49" s="196"/>
      <c r="G49" s="196"/>
      <c r="H49" s="121">
        <f>SUM(H12:H48)</f>
        <v>84</v>
      </c>
      <c r="M49" s="121">
        <f>SUM(M12:M48)</f>
        <v>163</v>
      </c>
      <c r="R49" s="121">
        <f>SUM(R12:R48)</f>
        <v>70</v>
      </c>
      <c r="W49" s="121">
        <f>SUM(W12:W48)</f>
        <v>0</v>
      </c>
      <c r="AB49" s="121">
        <f>SUM(AB12:AB48)</f>
        <v>29</v>
      </c>
      <c r="AG49" s="121">
        <f>SUM(AG12:AG48)</f>
        <v>0</v>
      </c>
      <c r="AL49" s="120">
        <f>SUM(AL12:AL48)</f>
        <v>0</v>
      </c>
      <c r="AQ49" s="120">
        <f>SUM(AQ12:AQ48)</f>
        <v>0</v>
      </c>
      <c r="AV49" s="120">
        <f>SUM(AV12:AV48)</f>
        <v>0</v>
      </c>
      <c r="BA49" s="120">
        <f>SUM(BA12:BA48)</f>
        <v>0</v>
      </c>
      <c r="BF49" s="120">
        <f>SUM(BF12:BF48)</f>
        <v>0</v>
      </c>
      <c r="BK49" s="120">
        <f>SUM(BK12:BK48)</f>
        <v>0</v>
      </c>
      <c r="BM49" s="121">
        <f>SUM(BM12:BM48)</f>
        <v>346</v>
      </c>
    </row>
  </sheetData>
  <mergeCells count="48">
    <mergeCell ref="H8:M8"/>
    <mergeCell ref="D2:AF2"/>
    <mergeCell ref="D3:AF3"/>
    <mergeCell ref="E5:M5"/>
    <mergeCell ref="E6:M6"/>
    <mergeCell ref="E7:M7"/>
    <mergeCell ref="BG10:BK10"/>
    <mergeCell ref="D10:H10"/>
    <mergeCell ref="I10:M10"/>
    <mergeCell ref="N10:R10"/>
    <mergeCell ref="S10:W10"/>
    <mergeCell ref="X10:AB10"/>
    <mergeCell ref="AC10:AG10"/>
    <mergeCell ref="AH10:AL10"/>
    <mergeCell ref="AM10:AQ10"/>
    <mergeCell ref="AR10:AV10"/>
    <mergeCell ref="AW10:BA10"/>
    <mergeCell ref="BB10:BF10"/>
    <mergeCell ref="B12:B13"/>
    <mergeCell ref="BM12:BM13"/>
    <mergeCell ref="B14:B15"/>
    <mergeCell ref="BM14:BM15"/>
    <mergeCell ref="B16:B17"/>
    <mergeCell ref="BM16:BM17"/>
    <mergeCell ref="B18:B19"/>
    <mergeCell ref="BM18:BM19"/>
    <mergeCell ref="B20:B21"/>
    <mergeCell ref="BM20:BM21"/>
    <mergeCell ref="B23:B24"/>
    <mergeCell ref="BM23:BM38"/>
    <mergeCell ref="B25:B26"/>
    <mergeCell ref="B27:B28"/>
    <mergeCell ref="B29:B30"/>
    <mergeCell ref="B31:B32"/>
    <mergeCell ref="B33:B34"/>
    <mergeCell ref="B35:B36"/>
    <mergeCell ref="B37:B38"/>
    <mergeCell ref="BM39:BM40"/>
    <mergeCell ref="B49:G49"/>
    <mergeCell ref="B43:B44"/>
    <mergeCell ref="BM43:BM44"/>
    <mergeCell ref="B45:B46"/>
    <mergeCell ref="BM45:BM46"/>
    <mergeCell ref="B47:B48"/>
    <mergeCell ref="BM47:BM48"/>
    <mergeCell ref="B41:B42"/>
    <mergeCell ref="BM41:BM42"/>
    <mergeCell ref="B39:B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P52"/>
  <sheetViews>
    <sheetView workbookViewId="0">
      <selection activeCell="E22" sqref="E22"/>
    </sheetView>
  </sheetViews>
  <sheetFormatPr baseColWidth="10" defaultRowHeight="15"/>
  <cols>
    <col min="1" max="1" width="25.85546875" customWidth="1"/>
    <col min="2" max="2" width="14.140625" customWidth="1"/>
    <col min="3" max="3" width="12.7109375" customWidth="1"/>
    <col min="4" max="4" width="15.42578125" customWidth="1"/>
    <col min="5" max="5" width="15.85546875" customWidth="1"/>
    <col min="6" max="6" width="26.42578125" customWidth="1"/>
    <col min="7" max="7" width="24.5703125" style="7" customWidth="1"/>
    <col min="8" max="8" width="14.7109375" style="7" customWidth="1"/>
    <col min="9" max="9" width="17.42578125" style="7" customWidth="1"/>
    <col min="10" max="10" width="14.42578125" style="99" customWidth="1"/>
    <col min="11" max="11" width="11.42578125" style="99"/>
    <col min="12" max="12" width="18.7109375" style="99" customWidth="1"/>
    <col min="13" max="13" width="28.28515625" customWidth="1"/>
    <col min="14" max="15" width="13.85546875" customWidth="1"/>
    <col min="16" max="16" width="19.5703125" customWidth="1"/>
  </cols>
  <sheetData>
    <row r="8" spans="1:4" ht="15.75" thickBot="1">
      <c r="A8" s="217" t="s">
        <v>273</v>
      </c>
      <c r="B8" s="217"/>
      <c r="C8" s="217"/>
      <c r="D8" s="217"/>
    </row>
    <row r="9" spans="1:4" ht="15.75" thickBot="1">
      <c r="A9" s="158" t="s">
        <v>65</v>
      </c>
      <c r="B9" s="159" t="s">
        <v>66</v>
      </c>
      <c r="C9" s="159" t="s">
        <v>67</v>
      </c>
      <c r="D9" s="159" t="s">
        <v>68</v>
      </c>
    </row>
    <row r="10" spans="1:4" ht="15.75" thickBot="1">
      <c r="A10" s="15" t="s">
        <v>142</v>
      </c>
      <c r="B10" s="159">
        <v>9</v>
      </c>
      <c r="C10" s="159">
        <v>2</v>
      </c>
      <c r="D10" s="159">
        <f>1338+179</f>
        <v>1517</v>
      </c>
    </row>
    <row r="11" spans="1:4" ht="15.75" thickBot="1">
      <c r="A11" s="15" t="s">
        <v>143</v>
      </c>
      <c r="B11" s="159">
        <v>6</v>
      </c>
      <c r="C11" s="7">
        <v>33</v>
      </c>
      <c r="D11" s="159">
        <f>377+1439</f>
        <v>1816</v>
      </c>
    </row>
    <row r="12" spans="1:4" ht="15.75" thickBot="1">
      <c r="A12" s="15" t="s">
        <v>101</v>
      </c>
      <c r="B12" s="159">
        <v>6</v>
      </c>
      <c r="C12" s="159">
        <v>6</v>
      </c>
      <c r="D12" s="159">
        <f>60+1486</f>
        <v>1546</v>
      </c>
    </row>
    <row r="13" spans="1:4" ht="15.75" thickBot="1">
      <c r="A13" s="15" t="s">
        <v>100</v>
      </c>
      <c r="B13" s="159">
        <v>7</v>
      </c>
      <c r="C13" s="7">
        <v>25</v>
      </c>
      <c r="D13" s="159">
        <f>5+1704</f>
        <v>1709</v>
      </c>
    </row>
    <row r="14" spans="1:4" ht="15.75" thickBot="1">
      <c r="A14" s="15" t="s">
        <v>99</v>
      </c>
      <c r="B14" s="159">
        <v>4</v>
      </c>
      <c r="C14" s="159">
        <v>8</v>
      </c>
      <c r="D14" s="159">
        <f>8+1908</f>
        <v>1916</v>
      </c>
    </row>
    <row r="15" spans="1:4" ht="15.75" thickBot="1">
      <c r="A15" s="15" t="s">
        <v>105</v>
      </c>
      <c r="B15" s="159">
        <v>7</v>
      </c>
      <c r="C15" s="159">
        <v>6</v>
      </c>
      <c r="D15" s="159">
        <f>1802+24</f>
        <v>1826</v>
      </c>
    </row>
    <row r="18" spans="1:16" ht="15.75" thickBot="1">
      <c r="A18" s="218" t="s">
        <v>141</v>
      </c>
      <c r="B18" s="218"/>
      <c r="C18" s="218"/>
    </row>
    <row r="19" spans="1:16" ht="15.75" thickBot="1">
      <c r="A19" s="15" t="s">
        <v>142</v>
      </c>
      <c r="B19" s="15">
        <v>3</v>
      </c>
      <c r="C19" s="15">
        <f>1338</f>
        <v>1338</v>
      </c>
      <c r="F19" s="213" t="s">
        <v>69</v>
      </c>
      <c r="G19" s="213"/>
      <c r="H19" s="213"/>
      <c r="I19" s="213"/>
      <c r="M19" s="213" t="s">
        <v>144</v>
      </c>
      <c r="N19" s="213"/>
      <c r="O19" s="213"/>
      <c r="P19" s="213"/>
    </row>
    <row r="20" spans="1:16" ht="15.75" thickBot="1">
      <c r="A20" s="15" t="s">
        <v>143</v>
      </c>
      <c r="B20" s="15">
        <v>3</v>
      </c>
      <c r="C20" s="15">
        <f>377+1439</f>
        <v>1816</v>
      </c>
      <c r="F20" t="s">
        <v>65</v>
      </c>
      <c r="G20" s="7" t="s">
        <v>66</v>
      </c>
      <c r="H20" s="7" t="s">
        <v>67</v>
      </c>
      <c r="I20" s="7" t="s">
        <v>68</v>
      </c>
      <c r="M20" t="s">
        <v>65</v>
      </c>
      <c r="N20" s="7" t="s">
        <v>66</v>
      </c>
      <c r="O20" s="7" t="s">
        <v>67</v>
      </c>
      <c r="P20" s="7" t="s">
        <v>68</v>
      </c>
    </row>
    <row r="21" spans="1:16" ht="15.75" thickBot="1">
      <c r="A21" s="15" t="s">
        <v>101</v>
      </c>
      <c r="B21" s="15">
        <v>3</v>
      </c>
      <c r="C21" s="15">
        <v>1941</v>
      </c>
      <c r="F21" t="s">
        <v>107</v>
      </c>
      <c r="G21" s="7">
        <v>17</v>
      </c>
      <c r="H21" s="7">
        <v>34</v>
      </c>
      <c r="I21" s="7">
        <f>12+1638</f>
        <v>1650</v>
      </c>
      <c r="M21" s="15" t="s">
        <v>142</v>
      </c>
      <c r="N21" s="7">
        <v>9</v>
      </c>
      <c r="O21" s="7">
        <v>2</v>
      </c>
      <c r="P21" s="7">
        <f>1338+179</f>
        <v>1517</v>
      </c>
    </row>
    <row r="22" spans="1:16" ht="15.75" thickBot="1">
      <c r="A22" s="15" t="s">
        <v>100</v>
      </c>
      <c r="B22" s="15">
        <v>3</v>
      </c>
      <c r="C22" s="15">
        <v>2001</v>
      </c>
      <c r="F22" t="s">
        <v>108</v>
      </c>
      <c r="G22" s="7">
        <v>19</v>
      </c>
      <c r="H22" s="7">
        <v>12</v>
      </c>
      <c r="I22" s="7">
        <f>2620+9</f>
        <v>2629</v>
      </c>
      <c r="M22" s="15" t="s">
        <v>143</v>
      </c>
      <c r="N22" s="7">
        <v>6</v>
      </c>
      <c r="O22" s="7">
        <v>33</v>
      </c>
      <c r="P22" s="7">
        <f>377+1439</f>
        <v>1816</v>
      </c>
    </row>
    <row r="23" spans="1:16" ht="15.75" thickBot="1">
      <c r="A23" s="15" t="s">
        <v>99</v>
      </c>
      <c r="B23" s="15">
        <v>3</v>
      </c>
      <c r="C23" s="15">
        <v>1297</v>
      </c>
      <c r="F23" t="s">
        <v>109</v>
      </c>
      <c r="G23" s="7">
        <v>20</v>
      </c>
      <c r="H23" s="7">
        <v>10</v>
      </c>
      <c r="I23" s="7">
        <f>1568+9</f>
        <v>1577</v>
      </c>
      <c r="M23" s="15" t="s">
        <v>101</v>
      </c>
      <c r="N23" s="7">
        <v>6</v>
      </c>
      <c r="O23" s="7">
        <v>6</v>
      </c>
      <c r="P23" s="7">
        <f>60+1486</f>
        <v>1546</v>
      </c>
    </row>
    <row r="24" spans="1:16" ht="15.75" thickBot="1">
      <c r="A24" s="15" t="s">
        <v>105</v>
      </c>
      <c r="B24" s="15">
        <v>3</v>
      </c>
      <c r="C24" s="15">
        <v>1853</v>
      </c>
      <c r="F24" s="213" t="s">
        <v>110</v>
      </c>
      <c r="G24" s="213"/>
      <c r="H24" s="213"/>
      <c r="I24" s="213"/>
      <c r="J24" s="81" t="s">
        <v>66</v>
      </c>
      <c r="K24" s="81" t="s">
        <v>67</v>
      </c>
      <c r="L24" s="81" t="s">
        <v>68</v>
      </c>
      <c r="M24" s="15" t="s">
        <v>100</v>
      </c>
      <c r="N24" s="7">
        <v>7</v>
      </c>
      <c r="O24" s="7">
        <v>25</v>
      </c>
      <c r="P24" s="7">
        <f>5+1704</f>
        <v>1709</v>
      </c>
    </row>
    <row r="25" spans="1:16" ht="15.75" thickBot="1">
      <c r="A25" s="218" t="s">
        <v>106</v>
      </c>
      <c r="B25" s="218"/>
      <c r="C25" s="218"/>
      <c r="M25" s="15" t="s">
        <v>99</v>
      </c>
      <c r="N25" s="7">
        <v>4</v>
      </c>
      <c r="O25" s="7">
        <v>8</v>
      </c>
      <c r="P25" s="7">
        <f>8+1908</f>
        <v>1916</v>
      </c>
    </row>
    <row r="26" spans="1:16" ht="15.75" thickBot="1">
      <c r="A26" s="15" t="s">
        <v>103</v>
      </c>
      <c r="B26" s="15">
        <v>3</v>
      </c>
      <c r="C26" s="15">
        <v>1929</v>
      </c>
      <c r="F26" s="213" t="s">
        <v>69</v>
      </c>
      <c r="G26" s="213"/>
      <c r="H26" s="213"/>
      <c r="I26" s="213"/>
      <c r="M26" s="15" t="s">
        <v>105</v>
      </c>
      <c r="N26" s="7">
        <v>7</v>
      </c>
      <c r="O26" s="7">
        <v>6</v>
      </c>
      <c r="P26" s="7">
        <f>1802+24</f>
        <v>1826</v>
      </c>
    </row>
    <row r="27" spans="1:16" ht="15.75" thickBot="1">
      <c r="A27" s="15" t="s">
        <v>102</v>
      </c>
      <c r="B27" s="15">
        <v>3</v>
      </c>
      <c r="C27" s="15">
        <v>1645</v>
      </c>
      <c r="F27" t="s">
        <v>65</v>
      </c>
      <c r="G27" s="7" t="s">
        <v>66</v>
      </c>
      <c r="H27" s="7" t="s">
        <v>67</v>
      </c>
      <c r="I27" s="7" t="s">
        <v>68</v>
      </c>
      <c r="N27" s="7"/>
      <c r="O27" s="7"/>
      <c r="P27" s="7"/>
    </row>
    <row r="28" spans="1:16" ht="15.75" thickBot="1">
      <c r="A28" s="15" t="s">
        <v>101</v>
      </c>
      <c r="B28" s="15">
        <v>3</v>
      </c>
      <c r="C28" s="15">
        <v>1941</v>
      </c>
      <c r="F28" t="s">
        <v>107</v>
      </c>
      <c r="G28" s="7">
        <v>17</v>
      </c>
      <c r="H28" s="7">
        <v>34</v>
      </c>
      <c r="I28" s="7">
        <f>12+1638</f>
        <v>1650</v>
      </c>
      <c r="N28" s="7"/>
      <c r="O28" s="7"/>
      <c r="P28" s="7"/>
    </row>
    <row r="29" spans="1:16" ht="15.75" thickBot="1">
      <c r="A29" s="15" t="s">
        <v>100</v>
      </c>
      <c r="B29" s="15">
        <v>3</v>
      </c>
      <c r="C29" s="15">
        <v>2001</v>
      </c>
      <c r="F29" t="s">
        <v>108</v>
      </c>
      <c r="G29" s="7">
        <v>19</v>
      </c>
      <c r="H29" s="7">
        <v>12</v>
      </c>
      <c r="I29" s="7">
        <f>2620+9</f>
        <v>2629</v>
      </c>
      <c r="N29" s="7"/>
      <c r="O29" s="7"/>
      <c r="P29" s="7"/>
    </row>
    <row r="30" spans="1:16" ht="15.75" thickBot="1">
      <c r="A30" s="15" t="s">
        <v>99</v>
      </c>
      <c r="B30" s="15">
        <v>3</v>
      </c>
      <c r="C30" s="15">
        <v>1297</v>
      </c>
      <c r="F30" t="s">
        <v>109</v>
      </c>
      <c r="G30" s="7">
        <v>20</v>
      </c>
      <c r="H30" s="7">
        <v>10</v>
      </c>
      <c r="I30" s="7">
        <f>1568+9</f>
        <v>1577</v>
      </c>
      <c r="N30" s="7"/>
      <c r="O30" s="7"/>
      <c r="P30" s="7"/>
    </row>
    <row r="31" spans="1:16" ht="15.75" thickBot="1">
      <c r="A31" s="15" t="s">
        <v>105</v>
      </c>
      <c r="B31" s="15">
        <v>3</v>
      </c>
      <c r="C31" s="15">
        <v>1853</v>
      </c>
      <c r="F31" s="213" t="s">
        <v>110</v>
      </c>
      <c r="G31" s="213"/>
      <c r="H31" s="213"/>
      <c r="I31" s="213"/>
      <c r="J31" s="81" t="s">
        <v>66</v>
      </c>
      <c r="K31" s="81" t="s">
        <v>67</v>
      </c>
      <c r="L31" s="81" t="s">
        <v>68</v>
      </c>
    </row>
    <row r="32" spans="1:16">
      <c r="C32" s="17">
        <f>SUM(C26:C31)</f>
        <v>10666</v>
      </c>
      <c r="F32" s="17" t="s">
        <v>91</v>
      </c>
    </row>
    <row r="33" spans="1:14" ht="15.75" thickBot="1">
      <c r="A33" s="218" t="s">
        <v>104</v>
      </c>
      <c r="B33" s="218"/>
      <c r="C33" s="218"/>
      <c r="F33" t="s">
        <v>111</v>
      </c>
      <c r="G33" s="7">
        <v>25</v>
      </c>
    </row>
    <row r="34" spans="1:14" ht="15.75" thickBot="1">
      <c r="A34" s="15" t="s">
        <v>103</v>
      </c>
      <c r="B34" s="15">
        <v>3</v>
      </c>
      <c r="C34" s="15">
        <f>1757+9+24</f>
        <v>1790</v>
      </c>
      <c r="D34">
        <v>1993</v>
      </c>
      <c r="E34">
        <f>D34-C34</f>
        <v>203</v>
      </c>
      <c r="F34" t="s">
        <v>112</v>
      </c>
      <c r="G34" s="7">
        <v>28</v>
      </c>
    </row>
    <row r="35" spans="1:14" ht="15.75" thickBot="1">
      <c r="A35" s="15" t="s">
        <v>102</v>
      </c>
      <c r="B35" s="15">
        <v>3</v>
      </c>
      <c r="C35" s="15">
        <f>11+10+1489+5</f>
        <v>1515</v>
      </c>
      <c r="D35">
        <v>1992</v>
      </c>
      <c r="E35">
        <f>D35-C35</f>
        <v>477</v>
      </c>
    </row>
    <row r="36" spans="1:14" ht="15.75" thickBot="1">
      <c r="A36" s="15" t="s">
        <v>101</v>
      </c>
      <c r="B36" s="15">
        <v>3</v>
      </c>
      <c r="C36" s="15">
        <f>11+1675+5+12</f>
        <v>1703</v>
      </c>
      <c r="D36">
        <v>1986</v>
      </c>
      <c r="E36">
        <f>D36-C36</f>
        <v>283</v>
      </c>
    </row>
    <row r="37" spans="1:14" ht="15.75" thickBot="1">
      <c r="A37" s="15" t="s">
        <v>107</v>
      </c>
      <c r="B37" s="15">
        <v>3</v>
      </c>
      <c r="C37" s="15">
        <v>1701</v>
      </c>
      <c r="E37">
        <f>SUM(E34:E36)</f>
        <v>963</v>
      </c>
      <c r="F37">
        <f>963/5008</f>
        <v>0.19229233226837061</v>
      </c>
    </row>
    <row r="38" spans="1:14" ht="15.75" thickBot="1">
      <c r="A38" s="15" t="s">
        <v>108</v>
      </c>
      <c r="B38" s="15">
        <v>3</v>
      </c>
      <c r="C38" s="15">
        <v>2660</v>
      </c>
      <c r="E38" s="51"/>
      <c r="F38" s="52" t="s">
        <v>91</v>
      </c>
      <c r="G38" s="52" t="s">
        <v>65</v>
      </c>
      <c r="H38" s="52" t="s">
        <v>113</v>
      </c>
      <c r="I38" s="52" t="s">
        <v>93</v>
      </c>
      <c r="J38" s="100" t="s">
        <v>65</v>
      </c>
      <c r="K38" s="100" t="s">
        <v>113</v>
      </c>
      <c r="L38" s="100" t="s">
        <v>93</v>
      </c>
      <c r="M38" s="68" t="s">
        <v>147</v>
      </c>
      <c r="N38" s="68" t="s">
        <v>148</v>
      </c>
    </row>
    <row r="39" spans="1:14" ht="30.75" thickBot="1">
      <c r="A39" s="15" t="s">
        <v>109</v>
      </c>
      <c r="B39" s="15">
        <v>3</v>
      </c>
      <c r="C39" s="15">
        <v>1607</v>
      </c>
      <c r="E39" s="219" t="s">
        <v>66</v>
      </c>
      <c r="F39" s="221">
        <v>11554725</v>
      </c>
      <c r="G39" s="51" t="s">
        <v>115</v>
      </c>
      <c r="H39" s="53">
        <v>28</v>
      </c>
      <c r="I39" s="54">
        <v>319220</v>
      </c>
      <c r="J39" s="99" t="s">
        <v>165</v>
      </c>
      <c r="K39" s="99">
        <v>14</v>
      </c>
      <c r="L39" s="54">
        <v>228890</v>
      </c>
      <c r="M39">
        <f>H39+H41+H43</f>
        <v>1993</v>
      </c>
      <c r="N39" s="23">
        <f>I39+I41+I43</f>
        <v>10796260</v>
      </c>
    </row>
    <row r="40" spans="1:14">
      <c r="C40" s="17">
        <f>SUM(C34:C39)</f>
        <v>10976</v>
      </c>
      <c r="E40" s="220"/>
      <c r="F40" s="221"/>
      <c r="G40" s="51" t="s">
        <v>116</v>
      </c>
      <c r="H40" s="53">
        <v>14</v>
      </c>
      <c r="I40" s="54">
        <v>136480</v>
      </c>
      <c r="J40" s="56"/>
      <c r="K40" s="101"/>
      <c r="L40" s="54"/>
      <c r="M40">
        <f>H40+H42+H44</f>
        <v>1992</v>
      </c>
      <c r="N40" s="23">
        <f>I40+I42+I44</f>
        <v>10509530</v>
      </c>
    </row>
    <row r="41" spans="1:14" ht="30.75" thickBot="1">
      <c r="A41" s="218" t="s">
        <v>114</v>
      </c>
      <c r="B41" s="218"/>
      <c r="C41" s="218"/>
      <c r="E41" s="219" t="s">
        <v>67</v>
      </c>
      <c r="F41" s="221">
        <v>9021389</v>
      </c>
      <c r="G41" s="51" t="s">
        <v>111</v>
      </c>
      <c r="H41" s="53">
        <v>14</v>
      </c>
      <c r="I41" s="54">
        <v>319220</v>
      </c>
      <c r="J41" s="56" t="s">
        <v>117</v>
      </c>
      <c r="K41" s="101">
        <v>23</v>
      </c>
      <c r="L41" s="54">
        <v>142510</v>
      </c>
      <c r="M41">
        <f>K39+K41+K43</f>
        <v>1986</v>
      </c>
      <c r="N41" s="23">
        <f>L39+L41+L43</f>
        <v>10819350</v>
      </c>
    </row>
    <row r="42" spans="1:14" ht="15.75" thickBot="1">
      <c r="A42" s="15" t="s">
        <v>103</v>
      </c>
      <c r="B42" s="15">
        <v>3</v>
      </c>
      <c r="C42" s="15">
        <f>SUM(G33:I33)</f>
        <v>25</v>
      </c>
      <c r="E42" s="220"/>
      <c r="F42" s="221"/>
      <c r="G42" s="51" t="s">
        <v>118</v>
      </c>
      <c r="H42" s="53">
        <v>28</v>
      </c>
      <c r="I42" s="54">
        <v>165290</v>
      </c>
      <c r="J42" s="56"/>
      <c r="K42" s="101"/>
      <c r="L42" s="54"/>
    </row>
    <row r="43" spans="1:14" ht="30.75" thickBot="1">
      <c r="A43" s="15" t="s">
        <v>102</v>
      </c>
      <c r="B43" s="15">
        <v>3</v>
      </c>
      <c r="C43" s="15">
        <f>SUM(G34:I34)</f>
        <v>28</v>
      </c>
      <c r="E43" s="219" t="s">
        <v>68</v>
      </c>
      <c r="F43" s="221" t="s">
        <v>119</v>
      </c>
      <c r="G43" s="51" t="s">
        <v>111</v>
      </c>
      <c r="H43" s="53">
        <f>9+1942</f>
        <v>1951</v>
      </c>
      <c r="I43" s="54">
        <f>65780+10092040</f>
        <v>10157820</v>
      </c>
      <c r="J43" s="56" t="s">
        <v>117</v>
      </c>
      <c r="K43" s="101">
        <f>7+1942</f>
        <v>1949</v>
      </c>
      <c r="L43" s="54">
        <f>57060+10390890</f>
        <v>10447950</v>
      </c>
    </row>
    <row r="44" spans="1:14" ht="15.75" thickBot="1">
      <c r="A44" s="15" t="s">
        <v>101</v>
      </c>
      <c r="B44" s="15">
        <v>3</v>
      </c>
      <c r="C44" s="15"/>
      <c r="E44" s="220"/>
      <c r="F44" s="221"/>
      <c r="G44" s="51" t="s">
        <v>118</v>
      </c>
      <c r="H44" s="53">
        <f>8+1942</f>
        <v>1950</v>
      </c>
      <c r="I44" s="54">
        <f>60930+10146830</f>
        <v>10207760</v>
      </c>
      <c r="J44" s="56"/>
      <c r="K44" s="101"/>
      <c r="L44" s="54"/>
    </row>
    <row r="45" spans="1:14" ht="60" customHeight="1">
      <c r="A45" s="223" t="s">
        <v>45</v>
      </c>
      <c r="B45" s="223"/>
      <c r="C45" s="223"/>
      <c r="E45" s="214" t="s">
        <v>66</v>
      </c>
      <c r="F45" s="216">
        <v>11554725</v>
      </c>
      <c r="J45" s="102" t="s">
        <v>163</v>
      </c>
      <c r="K45" s="102">
        <v>12</v>
      </c>
      <c r="L45" s="76">
        <v>125630</v>
      </c>
      <c r="M45" s="70"/>
    </row>
    <row r="46" spans="1:14">
      <c r="A46" s="222" t="s">
        <v>151</v>
      </c>
      <c r="B46" s="222"/>
      <c r="C46" s="222"/>
      <c r="D46" s="222"/>
      <c r="E46" s="215"/>
      <c r="F46" s="216"/>
      <c r="G46" s="74" t="s">
        <v>154</v>
      </c>
      <c r="H46" s="75">
        <v>15</v>
      </c>
      <c r="I46" s="76">
        <v>144260</v>
      </c>
      <c r="J46" s="103"/>
      <c r="K46" s="104"/>
      <c r="L46" s="76"/>
    </row>
    <row r="47" spans="1:14" ht="99.75" customHeight="1">
      <c r="A47" s="222"/>
      <c r="B47" s="222"/>
      <c r="C47" s="222"/>
      <c r="D47" s="222"/>
      <c r="E47" s="214" t="s">
        <v>67</v>
      </c>
      <c r="F47" s="216">
        <v>9021389</v>
      </c>
      <c r="G47" s="77" t="s">
        <v>156</v>
      </c>
      <c r="H47" s="75">
        <v>15</v>
      </c>
      <c r="I47" s="76">
        <v>96790</v>
      </c>
      <c r="J47" s="103" t="s">
        <v>162</v>
      </c>
      <c r="K47" s="104">
        <v>26</v>
      </c>
      <c r="L47" s="76">
        <v>158530</v>
      </c>
    </row>
    <row r="48" spans="1:14" ht="30">
      <c r="E48" s="215"/>
      <c r="F48" s="216"/>
      <c r="G48" s="74" t="s">
        <v>118</v>
      </c>
      <c r="H48" s="75">
        <v>28</v>
      </c>
      <c r="I48" s="76">
        <v>165290</v>
      </c>
      <c r="J48" s="103" t="s">
        <v>161</v>
      </c>
      <c r="K48" s="104">
        <v>27</v>
      </c>
      <c r="L48" s="76">
        <v>163840</v>
      </c>
    </row>
    <row r="49" spans="5:12">
      <c r="E49" s="214" t="s">
        <v>68</v>
      </c>
      <c r="F49" s="216" t="s">
        <v>119</v>
      </c>
      <c r="G49" s="74" t="s">
        <v>157</v>
      </c>
      <c r="H49" s="75">
        <f>1942+9</f>
        <v>1951</v>
      </c>
      <c r="I49" s="76">
        <f>10081024+123884</f>
        <v>10204908</v>
      </c>
      <c r="J49" s="103" t="s">
        <v>164</v>
      </c>
      <c r="K49" s="104">
        <f>13+1942</f>
        <v>1955</v>
      </c>
      <c r="L49" s="76">
        <f>89100+10390660</f>
        <v>10479760</v>
      </c>
    </row>
    <row r="50" spans="5:12" ht="30">
      <c r="E50" s="215"/>
      <c r="F50" s="216"/>
      <c r="G50" s="74"/>
      <c r="H50" s="75"/>
      <c r="I50" s="76"/>
      <c r="J50" s="103" t="s">
        <v>161</v>
      </c>
      <c r="K50" s="104">
        <f>1606+15</f>
        <v>1621</v>
      </c>
      <c r="L50" s="76">
        <f>8594660+99770</f>
        <v>8694430</v>
      </c>
    </row>
    <row r="51" spans="5:12">
      <c r="E51" s="214" t="s">
        <v>152</v>
      </c>
      <c r="F51" s="216">
        <v>10767597</v>
      </c>
      <c r="G51" s="77" t="s">
        <v>153</v>
      </c>
      <c r="H51" s="75">
        <v>26</v>
      </c>
      <c r="I51" s="76">
        <v>629247</v>
      </c>
      <c r="J51" s="103"/>
      <c r="K51" s="104"/>
      <c r="L51" s="76"/>
    </row>
    <row r="52" spans="5:12" ht="30">
      <c r="E52" s="215"/>
      <c r="F52" s="216"/>
      <c r="G52" s="74" t="s">
        <v>155</v>
      </c>
      <c r="H52" s="75">
        <v>9</v>
      </c>
      <c r="I52" s="76">
        <v>64073</v>
      </c>
      <c r="J52" s="103" t="s">
        <v>160</v>
      </c>
      <c r="K52" s="104">
        <v>6</v>
      </c>
      <c r="L52" s="76">
        <v>114125</v>
      </c>
    </row>
  </sheetData>
  <mergeCells count="26">
    <mergeCell ref="M19:P19"/>
    <mergeCell ref="A25:C25"/>
    <mergeCell ref="E49:E50"/>
    <mergeCell ref="F49:F50"/>
    <mergeCell ref="E51:E52"/>
    <mergeCell ref="F51:F52"/>
    <mergeCell ref="F39:F40"/>
    <mergeCell ref="A46:D47"/>
    <mergeCell ref="A41:C41"/>
    <mergeCell ref="E41:E42"/>
    <mergeCell ref="F41:F42"/>
    <mergeCell ref="E43:E44"/>
    <mergeCell ref="F43:F44"/>
    <mergeCell ref="A45:C45"/>
    <mergeCell ref="E45:E46"/>
    <mergeCell ref="F45:F46"/>
    <mergeCell ref="E47:E48"/>
    <mergeCell ref="F47:F48"/>
    <mergeCell ref="A8:D8"/>
    <mergeCell ref="F26:I26"/>
    <mergeCell ref="F31:I31"/>
    <mergeCell ref="A33:C33"/>
    <mergeCell ref="E39:E40"/>
    <mergeCell ref="F19:I19"/>
    <mergeCell ref="F24:I24"/>
    <mergeCell ref="A18:C18"/>
  </mergeCells>
  <dataValidations count="5">
    <dataValidation type="decimal" allowBlank="1" showInputMessage="1" showErrorMessage="1" errorTitle="Entrada no válida" error="Por favor escriba un número" promptTitle="Escriba un número en esta casilla" sqref="B30:B31 B23:B24">
      <formula1>-9223372036854770000</formula1>
      <formula2>9223372036854770000</formula2>
    </dataValidation>
    <dataValidation type="textLength" allowBlank="1" showInputMessage="1" showErrorMessage="1" errorTitle="Entrada no válida" error="Escriba un texto " promptTitle="Cualquier contenido" sqref="C30:C31 A30:A31 C23:C24 A23:A24 M25:M26 A14:A15">
      <formula1>0</formula1>
      <formula2>4000</formula2>
    </dataValidation>
    <dataValidation type="textLength" allowBlank="1" showInputMessage="1" showErrorMessage="1" errorTitle="Entrada no válida" error="Escriba un texto " promptTitle="Cualquier contenido" prompt=" Escriba el periodo o meses que está reportando. Ej. Enero - Marzo" sqref="A29 A22 M24 A13">
      <formula1>0</formula1>
      <formula2>4000</formula2>
    </dataValidation>
    <dataValidation type="decimal" allowBlank="1" showInputMessage="1" showErrorMessage="1" errorTitle="Entrada no válida" error="Por favor escriba un número" promptTitle="Escriba un número en esta casilla" prompt=" Escriba el numeral correspondiente a las sedes de acuerdo al reporte realizado en el formulario de &quot;Sedes&quot; del informe de &quot;Información Institucional&quot;. Ej. 1,2,3,4." sqref="B29 B22">
      <formula1>-9223372036854770000</formula1>
      <formula2>9223372036854770000</formula2>
    </dataValidation>
    <dataValidation type="textLength" allowBlank="1" showInputMessage="1" showErrorMessage="1" errorTitle="Entrada no válida" error="Escriba un texto " promptTitle="Cualquier contenido" prompt=" Escriba la cantidad de kW/h consumidos en el mes. Ej. 25700 Escriba la cantidad de m3 consumidos en el mes. Ej. 150" sqref="C29 C22">
      <formula1>0</formula1>
      <formula2>4000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88"/>
  <sheetViews>
    <sheetView workbookViewId="0">
      <selection activeCell="E20" sqref="E20"/>
    </sheetView>
  </sheetViews>
  <sheetFormatPr baseColWidth="10" defaultRowHeight="15"/>
  <cols>
    <col min="1" max="1" width="25.85546875" customWidth="1"/>
    <col min="2" max="2" width="14.140625" customWidth="1"/>
    <col min="3" max="3" width="12.7109375" customWidth="1"/>
    <col min="4" max="4" width="15.42578125" customWidth="1"/>
    <col min="5" max="5" width="18.28515625" customWidth="1"/>
    <col min="6" max="6" width="26.42578125" customWidth="1"/>
    <col min="7" max="7" width="24.5703125" style="7" customWidth="1"/>
    <col min="8" max="8" width="14.7109375" style="7" customWidth="1"/>
    <col min="9" max="9" width="17.42578125" style="7" customWidth="1"/>
    <col min="10" max="10" width="14.42578125" style="99" customWidth="1"/>
    <col min="11" max="11" width="11.42578125" style="99"/>
    <col min="12" max="12" width="18.7109375" style="99" customWidth="1"/>
    <col min="13" max="13" width="28.28515625" customWidth="1"/>
    <col min="14" max="15" width="13.85546875" customWidth="1"/>
    <col min="16" max="16" width="19.5703125" customWidth="1"/>
  </cols>
  <sheetData>
    <row r="3" spans="1:14">
      <c r="J3"/>
      <c r="K3"/>
      <c r="L3"/>
    </row>
    <row r="4" spans="1:14" ht="45.75" customHeight="1" thickBot="1">
      <c r="A4" s="228" t="s">
        <v>279</v>
      </c>
      <c r="B4" s="229"/>
      <c r="C4" s="230"/>
      <c r="F4" s="161" t="s">
        <v>91</v>
      </c>
      <c r="G4" s="161" t="s">
        <v>65</v>
      </c>
      <c r="H4" s="161" t="s">
        <v>113</v>
      </c>
      <c r="I4" s="161" t="s">
        <v>93</v>
      </c>
      <c r="J4" s="161" t="s">
        <v>65</v>
      </c>
      <c r="K4" s="161" t="s">
        <v>113</v>
      </c>
      <c r="L4" s="161" t="s">
        <v>93</v>
      </c>
      <c r="N4" t="e">
        <f>#REF!+#REF!+#REF!</f>
        <v>#REF!</v>
      </c>
    </row>
    <row r="5" spans="1:14">
      <c r="A5" s="226" t="s">
        <v>65</v>
      </c>
      <c r="B5" s="226" t="s">
        <v>286</v>
      </c>
      <c r="C5" s="226" t="s">
        <v>287</v>
      </c>
      <c r="E5" s="231" t="s">
        <v>66</v>
      </c>
      <c r="F5" s="221">
        <v>11554725</v>
      </c>
      <c r="G5" s="51" t="s">
        <v>280</v>
      </c>
      <c r="H5" s="53">
        <v>13</v>
      </c>
      <c r="I5" s="54">
        <v>125622</v>
      </c>
      <c r="J5" t="s">
        <v>281</v>
      </c>
      <c r="K5" s="7">
        <v>7</v>
      </c>
      <c r="L5" s="54">
        <v>206200</v>
      </c>
      <c r="N5" t="e">
        <f>#REF!+#REF!+#REF!</f>
        <v>#REF!</v>
      </c>
    </row>
    <row r="6" spans="1:14" ht="15.75" thickBot="1">
      <c r="A6" s="227"/>
      <c r="B6" s="227"/>
      <c r="C6" s="227"/>
      <c r="E6" s="225"/>
      <c r="F6" s="221"/>
      <c r="G6" s="51" t="s">
        <v>282</v>
      </c>
      <c r="H6" s="53">
        <v>11</v>
      </c>
      <c r="I6" s="54">
        <v>117610</v>
      </c>
      <c r="J6" s="51"/>
      <c r="K6" s="53"/>
      <c r="L6" s="54"/>
      <c r="N6" t="e">
        <f>#REF!+#REF!+#REF!</f>
        <v>#REF!</v>
      </c>
    </row>
    <row r="7" spans="1:14" ht="15.75" thickBot="1">
      <c r="A7" s="15" t="s">
        <v>288</v>
      </c>
      <c r="B7" s="15">
        <f>H5+H7+H9</f>
        <v>1726</v>
      </c>
      <c r="C7" s="15">
        <f>I5+I7+I9</f>
        <v>9684774</v>
      </c>
      <c r="E7" s="224" t="s">
        <v>67</v>
      </c>
      <c r="F7" s="221">
        <v>9021389</v>
      </c>
      <c r="G7" s="51" t="s">
        <v>283</v>
      </c>
      <c r="H7" s="53">
        <v>81</v>
      </c>
      <c r="I7" s="54">
        <v>452162</v>
      </c>
      <c r="J7" t="s">
        <v>281</v>
      </c>
      <c r="K7" s="53">
        <v>15</v>
      </c>
      <c r="L7" s="54">
        <v>180000</v>
      </c>
    </row>
    <row r="8" spans="1:14" ht="15.75" thickBot="1">
      <c r="A8" s="15" t="s">
        <v>11</v>
      </c>
      <c r="B8" s="15">
        <f>H6+H8+H10</f>
        <v>1968</v>
      </c>
      <c r="C8" s="15">
        <f>I6+I8+I10</f>
        <v>11065940</v>
      </c>
      <c r="E8" s="225"/>
      <c r="F8" s="221"/>
      <c r="G8" s="51" t="s">
        <v>284</v>
      </c>
      <c r="H8" s="53">
        <v>15</v>
      </c>
      <c r="I8" s="54">
        <v>557440</v>
      </c>
      <c r="J8" s="51"/>
      <c r="K8" s="53"/>
      <c r="L8" s="54"/>
      <c r="M8" s="23"/>
    </row>
    <row r="9" spans="1:14" ht="21" customHeight="1" thickBot="1">
      <c r="A9" s="15" t="s">
        <v>289</v>
      </c>
      <c r="B9" s="15">
        <f>K5+K7+K9</f>
        <v>1555</v>
      </c>
      <c r="C9" s="15">
        <f>L5+L7+L9</f>
        <v>8610760</v>
      </c>
      <c r="E9" s="224" t="s">
        <v>68</v>
      </c>
      <c r="F9" s="221" t="s">
        <v>119</v>
      </c>
      <c r="G9" s="51" t="s">
        <v>283</v>
      </c>
      <c r="H9" s="53">
        <f>1616+16</f>
        <v>1632</v>
      </c>
      <c r="I9" s="54">
        <f>106680+9000310</f>
        <v>9106990</v>
      </c>
      <c r="J9" s="51" t="s">
        <v>285</v>
      </c>
      <c r="K9" s="53">
        <f>1526+7</f>
        <v>1533</v>
      </c>
      <c r="L9" s="54">
        <f>8167510+57050</f>
        <v>8224560</v>
      </c>
    </row>
    <row r="10" spans="1:14" ht="15.75" thickBot="1">
      <c r="E10" s="225"/>
      <c r="F10" s="221"/>
      <c r="G10" s="51" t="s">
        <v>284</v>
      </c>
      <c r="H10" s="53">
        <v>1942</v>
      </c>
      <c r="I10" s="54">
        <f>10390890</f>
        <v>10390890</v>
      </c>
      <c r="J10" s="51"/>
      <c r="K10" s="53"/>
      <c r="L10" s="54"/>
    </row>
    <row r="11" spans="1:14">
      <c r="J11"/>
      <c r="K11"/>
      <c r="L11"/>
    </row>
    <row r="12" spans="1:14">
      <c r="J12"/>
      <c r="K12"/>
      <c r="L12"/>
    </row>
    <row r="13" spans="1:14">
      <c r="J13"/>
      <c r="K13"/>
      <c r="L13"/>
    </row>
    <row r="14" spans="1:14">
      <c r="J14"/>
      <c r="K14"/>
      <c r="L14"/>
    </row>
    <row r="15" spans="1:14">
      <c r="J15"/>
      <c r="K15"/>
      <c r="L15"/>
    </row>
    <row r="16" spans="1:14">
      <c r="J16"/>
      <c r="K16"/>
      <c r="L16"/>
    </row>
    <row r="17" spans="6:12">
      <c r="J17"/>
      <c r="K17"/>
      <c r="L17"/>
    </row>
    <row r="18" spans="6:12">
      <c r="J18"/>
      <c r="K18"/>
      <c r="L18"/>
    </row>
    <row r="19" spans="6:12">
      <c r="J19"/>
      <c r="K19"/>
      <c r="L19"/>
    </row>
    <row r="20" spans="6:12">
      <c r="J20"/>
      <c r="K20"/>
      <c r="L20"/>
    </row>
    <row r="21" spans="6:12">
      <c r="J21"/>
      <c r="K21"/>
      <c r="L21"/>
    </row>
    <row r="22" spans="6:12">
      <c r="J22"/>
      <c r="K22"/>
      <c r="L22"/>
    </row>
    <row r="23" spans="6:12">
      <c r="J23"/>
      <c r="K23"/>
      <c r="L23"/>
    </row>
    <row r="24" spans="6:12">
      <c r="F24" s="213"/>
      <c r="G24" s="213"/>
      <c r="H24" s="213"/>
      <c r="I24" s="213"/>
      <c r="J24" s="150"/>
      <c r="K24" s="150"/>
      <c r="L24"/>
    </row>
    <row r="25" spans="6:12">
      <c r="L25"/>
    </row>
    <row r="26" spans="6:12">
      <c r="F26" s="213"/>
      <c r="G26" s="213"/>
      <c r="H26" s="213"/>
      <c r="I26" s="213"/>
      <c r="L26"/>
    </row>
    <row r="27" spans="6:12">
      <c r="L27"/>
    </row>
    <row r="28" spans="6:12">
      <c r="L28"/>
    </row>
    <row r="29" spans="6:12">
      <c r="L29"/>
    </row>
    <row r="30" spans="6:12">
      <c r="L30"/>
    </row>
    <row r="31" spans="6:12">
      <c r="F31" s="213"/>
      <c r="G31" s="213"/>
      <c r="H31" s="213"/>
      <c r="I31" s="213"/>
      <c r="J31" s="150"/>
      <c r="K31" s="150"/>
      <c r="L31" s="150"/>
    </row>
    <row r="32" spans="6:12">
      <c r="F32" s="17"/>
    </row>
    <row r="34" spans="7:12">
      <c r="G34"/>
      <c r="H34"/>
      <c r="I34"/>
      <c r="J34"/>
      <c r="K34"/>
      <c r="L34"/>
    </row>
    <row r="35" spans="7:12">
      <c r="G35"/>
      <c r="H35"/>
      <c r="I35"/>
      <c r="J35"/>
      <c r="K35"/>
      <c r="L35"/>
    </row>
    <row r="36" spans="7:12">
      <c r="G36"/>
      <c r="H36"/>
      <c r="I36"/>
      <c r="J36"/>
      <c r="K36"/>
      <c r="L36"/>
    </row>
    <row r="37" spans="7:12">
      <c r="G37"/>
      <c r="H37"/>
      <c r="I37"/>
      <c r="J37"/>
      <c r="K37"/>
      <c r="L37"/>
    </row>
    <row r="38" spans="7:12">
      <c r="G38"/>
      <c r="H38"/>
      <c r="I38"/>
      <c r="J38"/>
      <c r="K38"/>
      <c r="L38"/>
    </row>
    <row r="39" spans="7:12">
      <c r="G39"/>
      <c r="H39"/>
      <c r="I39"/>
      <c r="J39"/>
      <c r="K39"/>
      <c r="L39"/>
    </row>
    <row r="40" spans="7:12">
      <c r="G40"/>
      <c r="H40"/>
      <c r="I40"/>
      <c r="J40"/>
      <c r="K40"/>
      <c r="L40"/>
    </row>
    <row r="41" spans="7:12">
      <c r="G41"/>
      <c r="H41"/>
      <c r="I41"/>
      <c r="J41"/>
      <c r="K41"/>
      <c r="L41"/>
    </row>
    <row r="42" spans="7:12">
      <c r="G42"/>
      <c r="H42"/>
      <c r="I42"/>
      <c r="J42"/>
      <c r="K42"/>
      <c r="L42"/>
    </row>
    <row r="43" spans="7:12">
      <c r="G43"/>
      <c r="H43"/>
      <c r="I43"/>
      <c r="J43"/>
      <c r="K43"/>
      <c r="L43"/>
    </row>
    <row r="44" spans="7:12">
      <c r="G44"/>
      <c r="H44"/>
      <c r="I44"/>
      <c r="J44"/>
      <c r="K44"/>
      <c r="L44"/>
    </row>
    <row r="45" spans="7:12" ht="18.75" customHeight="1">
      <c r="G45"/>
      <c r="H45"/>
      <c r="I45"/>
      <c r="J45"/>
      <c r="K45"/>
      <c r="L45"/>
    </row>
    <row r="46" spans="7:12">
      <c r="G46"/>
      <c r="H46"/>
      <c r="I46"/>
      <c r="J46"/>
      <c r="K46"/>
      <c r="L46"/>
    </row>
    <row r="47" spans="7:12" ht="14.25" customHeight="1">
      <c r="G47"/>
      <c r="H47"/>
      <c r="I47"/>
      <c r="J47"/>
      <c r="K47"/>
      <c r="L47"/>
    </row>
    <row r="48" spans="7:12">
      <c r="G48"/>
      <c r="H48"/>
      <c r="I48"/>
      <c r="J48"/>
      <c r="K48"/>
      <c r="L48"/>
    </row>
    <row r="49" spans="7:12">
      <c r="G49"/>
      <c r="H49"/>
      <c r="I49"/>
      <c r="J49"/>
      <c r="K49"/>
      <c r="L49"/>
    </row>
    <row r="50" spans="7:12">
      <c r="G50"/>
      <c r="H50"/>
      <c r="I50"/>
      <c r="J50"/>
      <c r="K50"/>
      <c r="L50"/>
    </row>
    <row r="51" spans="7:12">
      <c r="G51"/>
      <c r="H51"/>
      <c r="I51"/>
      <c r="J51"/>
      <c r="K51"/>
      <c r="L51"/>
    </row>
    <row r="52" spans="7:12">
      <c r="G52"/>
      <c r="H52"/>
      <c r="I52"/>
      <c r="J52"/>
      <c r="K52"/>
      <c r="L52"/>
    </row>
    <row r="53" spans="7:12">
      <c r="G53"/>
      <c r="H53"/>
      <c r="I53"/>
      <c r="J53"/>
      <c r="K53"/>
      <c r="L53"/>
    </row>
    <row r="54" spans="7:12">
      <c r="G54"/>
      <c r="H54"/>
      <c r="I54"/>
      <c r="J54"/>
      <c r="K54"/>
      <c r="L54"/>
    </row>
    <row r="55" spans="7:12">
      <c r="G55"/>
      <c r="H55"/>
      <c r="I55"/>
      <c r="J55"/>
      <c r="K55"/>
      <c r="L55"/>
    </row>
    <row r="56" spans="7:12">
      <c r="G56"/>
      <c r="H56"/>
      <c r="I56"/>
      <c r="J56"/>
      <c r="K56"/>
      <c r="L56"/>
    </row>
    <row r="57" spans="7:12">
      <c r="G57"/>
      <c r="H57"/>
      <c r="I57"/>
      <c r="J57"/>
      <c r="K57"/>
      <c r="L57"/>
    </row>
    <row r="58" spans="7:12">
      <c r="G58"/>
      <c r="H58"/>
      <c r="I58"/>
      <c r="J58"/>
      <c r="K58"/>
      <c r="L58"/>
    </row>
    <row r="59" spans="7:12">
      <c r="G59"/>
      <c r="H59"/>
      <c r="I59"/>
      <c r="J59"/>
      <c r="K59"/>
      <c r="L59"/>
    </row>
    <row r="60" spans="7:12">
      <c r="G60"/>
      <c r="H60"/>
      <c r="I60"/>
      <c r="J60"/>
      <c r="K60"/>
      <c r="L60"/>
    </row>
    <row r="61" spans="7:12">
      <c r="G61"/>
      <c r="H61"/>
      <c r="I61"/>
      <c r="J61"/>
      <c r="K61"/>
      <c r="L61"/>
    </row>
    <row r="62" spans="7:12">
      <c r="G62"/>
      <c r="H62"/>
      <c r="I62"/>
      <c r="J62"/>
      <c r="K62"/>
      <c r="L62"/>
    </row>
    <row r="63" spans="7:12">
      <c r="G63"/>
      <c r="H63"/>
      <c r="I63"/>
      <c r="J63"/>
      <c r="K63"/>
      <c r="L63"/>
    </row>
    <row r="64" spans="7:12">
      <c r="G64"/>
      <c r="H64"/>
      <c r="I64"/>
      <c r="J64"/>
      <c r="K64"/>
      <c r="L64"/>
    </row>
    <row r="65" spans="7:12">
      <c r="G65"/>
      <c r="H65"/>
      <c r="I65"/>
      <c r="J65"/>
      <c r="K65"/>
      <c r="L65"/>
    </row>
    <row r="66" spans="7:12">
      <c r="G66"/>
      <c r="H66"/>
      <c r="I66"/>
      <c r="J66"/>
      <c r="K66"/>
      <c r="L66"/>
    </row>
    <row r="67" spans="7:12">
      <c r="G67"/>
      <c r="H67"/>
      <c r="I67"/>
      <c r="J67"/>
      <c r="K67"/>
      <c r="L67"/>
    </row>
    <row r="68" spans="7:12">
      <c r="G68"/>
      <c r="H68"/>
      <c r="I68"/>
      <c r="J68"/>
      <c r="K68"/>
      <c r="L68"/>
    </row>
    <row r="69" spans="7:12">
      <c r="G69"/>
      <c r="H69"/>
      <c r="I69"/>
      <c r="J69"/>
      <c r="K69"/>
      <c r="L69"/>
    </row>
    <row r="70" spans="7:12">
      <c r="G70"/>
      <c r="H70"/>
      <c r="I70"/>
      <c r="J70"/>
      <c r="K70"/>
      <c r="L70"/>
    </row>
    <row r="71" spans="7:12">
      <c r="G71"/>
      <c r="H71"/>
      <c r="I71"/>
      <c r="J71"/>
      <c r="K71"/>
      <c r="L71"/>
    </row>
    <row r="72" spans="7:12">
      <c r="G72"/>
      <c r="H72"/>
      <c r="I72"/>
      <c r="J72"/>
      <c r="K72"/>
      <c r="L72"/>
    </row>
    <row r="73" spans="7:12">
      <c r="G73"/>
      <c r="H73"/>
      <c r="I73"/>
      <c r="J73"/>
      <c r="K73"/>
      <c r="L73"/>
    </row>
    <row r="74" spans="7:12">
      <c r="G74"/>
      <c r="H74"/>
      <c r="I74"/>
      <c r="J74"/>
      <c r="K74"/>
      <c r="L74"/>
    </row>
    <row r="75" spans="7:12">
      <c r="G75"/>
      <c r="H75"/>
      <c r="I75"/>
      <c r="J75"/>
      <c r="K75"/>
      <c r="L75"/>
    </row>
    <row r="76" spans="7:12">
      <c r="G76"/>
      <c r="H76"/>
      <c r="I76"/>
      <c r="J76"/>
      <c r="K76"/>
      <c r="L76"/>
    </row>
    <row r="77" spans="7:12">
      <c r="G77"/>
      <c r="H77"/>
      <c r="I77"/>
      <c r="J77"/>
      <c r="K77"/>
      <c r="L77"/>
    </row>
    <row r="78" spans="7:12">
      <c r="G78"/>
      <c r="H78"/>
      <c r="I78"/>
      <c r="J78"/>
      <c r="K78"/>
      <c r="L78"/>
    </row>
    <row r="79" spans="7:12">
      <c r="G79"/>
      <c r="H79"/>
      <c r="I79"/>
      <c r="J79"/>
      <c r="K79"/>
      <c r="L79"/>
    </row>
    <row r="80" spans="7:12">
      <c r="G80"/>
      <c r="H80"/>
      <c r="I80"/>
      <c r="J80"/>
      <c r="K80"/>
      <c r="L80"/>
    </row>
    <row r="81" spans="7:12">
      <c r="G81"/>
      <c r="H81"/>
      <c r="I81"/>
      <c r="J81"/>
      <c r="K81"/>
      <c r="L81"/>
    </row>
    <row r="82" spans="7:12">
      <c r="G82"/>
      <c r="H82"/>
      <c r="I82"/>
      <c r="J82"/>
      <c r="K82"/>
      <c r="L82"/>
    </row>
    <row r="83" spans="7:12">
      <c r="G83"/>
      <c r="H83"/>
      <c r="I83"/>
      <c r="J83"/>
      <c r="K83"/>
      <c r="L83"/>
    </row>
    <row r="84" spans="7:12">
      <c r="G84"/>
      <c r="H84"/>
      <c r="I84"/>
      <c r="J84"/>
      <c r="K84"/>
      <c r="L84"/>
    </row>
    <row r="85" spans="7:12">
      <c r="G85"/>
      <c r="H85"/>
      <c r="I85"/>
      <c r="J85"/>
      <c r="K85"/>
      <c r="L85"/>
    </row>
    <row r="86" spans="7:12">
      <c r="G86"/>
      <c r="H86"/>
      <c r="I86"/>
      <c r="J86"/>
      <c r="K86"/>
      <c r="L86"/>
    </row>
    <row r="87" spans="7:12">
      <c r="G87"/>
      <c r="H87"/>
      <c r="I87"/>
      <c r="J87"/>
      <c r="K87"/>
      <c r="L87"/>
    </row>
    <row r="88" spans="7:12">
      <c r="G88"/>
      <c r="H88"/>
      <c r="I88"/>
      <c r="J88"/>
      <c r="K88"/>
      <c r="L88"/>
    </row>
  </sheetData>
  <mergeCells count="13">
    <mergeCell ref="A5:A6"/>
    <mergeCell ref="B5:B6"/>
    <mergeCell ref="C5:C6"/>
    <mergeCell ref="A4:C4"/>
    <mergeCell ref="E5:E6"/>
    <mergeCell ref="F31:I31"/>
    <mergeCell ref="F24:I24"/>
    <mergeCell ref="F9:F10"/>
    <mergeCell ref="F5:F6"/>
    <mergeCell ref="E7:E8"/>
    <mergeCell ref="F7:F8"/>
    <mergeCell ref="E9:E10"/>
    <mergeCell ref="F26:I26"/>
  </mergeCells>
  <dataValidations count="5">
    <dataValidation type="textLength" allowBlank="1" showInputMessage="1" showErrorMessage="1" errorTitle="Entrada no válida" error="Escriba un texto " promptTitle="Cualquier contenido" prompt=" Escriba la cantidad de kW/h consumidos en el mes. Ej. 25700 Escriba la cantidad de m3 consumidos en el mes. Ej. 150" sqref="C29">
      <formula1>0</formula1>
      <formula2>4000</formula2>
    </dataValidation>
    <dataValidation type="decimal" allowBlank="1" showInputMessage="1" showErrorMessage="1" errorTitle="Entrada no válida" error="Por favor escriba un número" promptTitle="Escriba un número en esta casilla" prompt=" Escriba el numeral correspondiente a las sedes de acuerdo al reporte realizado en el formulario de &quot;Sedes&quot; del informe de &quot;Información Institucional&quot;. Ej. 1,2,3,4." sqref="B29">
      <formula1>-9223372036854770000</formula1>
      <formula2>9223372036854770000</formula2>
    </dataValidation>
    <dataValidation type="textLength" allowBlank="1" showInputMessage="1" showErrorMessage="1" errorTitle="Entrada no válida" error="Escriba un texto " promptTitle="Cualquier contenido" prompt=" Escriba el periodo o meses que está reportando. Ej. Enero - Marzo" sqref="A29 M24">
      <formula1>0</formula1>
      <formula2>4000</formula2>
    </dataValidation>
    <dataValidation type="textLength" allowBlank="1" showInputMessage="1" showErrorMessage="1" errorTitle="Entrada no válida" error="Escriba un texto " promptTitle="Cualquier contenido" sqref="C30:C31 A30:A31 A24 M25:M26 C24">
      <formula1>0</formula1>
      <formula2>4000</formula2>
    </dataValidation>
    <dataValidation type="decimal" allowBlank="1" showInputMessage="1" showErrorMessage="1" errorTitle="Entrada no válida" error="Por favor escriba un número" promptTitle="Escriba un número en esta casilla" sqref="B30:B31 B24">
      <formula1>-9223372036854770000</formula1>
      <formula2>9223372036854770000</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topLeftCell="E10" workbookViewId="0">
      <selection activeCell="O47" sqref="O47"/>
    </sheetView>
  </sheetViews>
  <sheetFormatPr baseColWidth="10" defaultRowHeight="15"/>
  <cols>
    <col min="5" max="5" width="12.7109375" bestFit="1" customWidth="1"/>
    <col min="6" max="6" width="14" customWidth="1"/>
    <col min="7" max="7" width="15" customWidth="1"/>
    <col min="8" max="8" width="16.42578125" customWidth="1"/>
    <col min="9" max="9" width="15.42578125" customWidth="1"/>
    <col min="11" max="14" width="19.140625" customWidth="1"/>
    <col min="15" max="15" width="21.7109375" customWidth="1"/>
    <col min="16" max="16" width="17.28515625" style="7" customWidth="1"/>
    <col min="17" max="17" width="19.28515625" customWidth="1"/>
    <col min="18" max="18" width="19.28515625" style="23" customWidth="1"/>
  </cols>
  <sheetData>
    <row r="1" spans="1:18">
      <c r="K1" s="232" t="s">
        <v>145</v>
      </c>
      <c r="L1" s="232"/>
      <c r="M1" s="232"/>
      <c r="N1" s="232"/>
      <c r="O1" s="232"/>
      <c r="P1" s="232"/>
      <c r="Q1" s="232"/>
      <c r="R1" s="232"/>
    </row>
    <row r="2" spans="1:18" ht="15.75" thickBot="1">
      <c r="A2" s="238" t="s">
        <v>28</v>
      </c>
      <c r="B2" s="238"/>
      <c r="C2" s="238"/>
      <c r="K2" s="233" t="s">
        <v>66</v>
      </c>
      <c r="L2" s="235" t="s">
        <v>96</v>
      </c>
      <c r="M2" s="41" t="s">
        <v>4</v>
      </c>
      <c r="N2" s="32">
        <v>282</v>
      </c>
      <c r="O2" s="28"/>
      <c r="P2" s="50" t="s">
        <v>35</v>
      </c>
      <c r="Q2" s="7">
        <v>162</v>
      </c>
      <c r="R2" s="28"/>
    </row>
    <row r="3" spans="1:18" ht="15.75" thickBot="1">
      <c r="A3" s="15" t="s">
        <v>15</v>
      </c>
      <c r="B3" s="15">
        <v>3</v>
      </c>
      <c r="C3" s="15">
        <v>9122</v>
      </c>
      <c r="K3" s="234"/>
      <c r="L3" s="235"/>
      <c r="M3" s="41" t="s">
        <v>9</v>
      </c>
      <c r="N3" s="7">
        <v>237</v>
      </c>
      <c r="O3" s="28"/>
      <c r="P3" s="50" t="s">
        <v>36</v>
      </c>
      <c r="Q3" s="32">
        <v>186</v>
      </c>
      <c r="R3" s="28"/>
    </row>
    <row r="4" spans="1:18" ht="15.75" thickBot="1">
      <c r="A4" s="15" t="s">
        <v>16</v>
      </c>
      <c r="B4" s="15">
        <v>3</v>
      </c>
      <c r="C4" s="15">
        <v>8419</v>
      </c>
      <c r="K4" s="220"/>
      <c r="L4" s="235"/>
      <c r="M4" s="41" t="s">
        <v>10</v>
      </c>
      <c r="N4" s="32">
        <v>196</v>
      </c>
      <c r="O4" s="28"/>
      <c r="P4" s="50" t="s">
        <v>37</v>
      </c>
      <c r="Q4" s="32">
        <v>189</v>
      </c>
      <c r="R4" s="28"/>
    </row>
    <row r="5" spans="1:18" ht="15.75" thickBot="1">
      <c r="A5" s="15" t="s">
        <v>17</v>
      </c>
      <c r="B5" s="15">
        <v>3</v>
      </c>
      <c r="C5" s="15">
        <v>7768</v>
      </c>
      <c r="K5" s="233" t="s">
        <v>67</v>
      </c>
      <c r="L5" s="235" t="s">
        <v>92</v>
      </c>
      <c r="M5" s="41" t="s">
        <v>4</v>
      </c>
      <c r="N5" s="32"/>
      <c r="O5" s="42"/>
      <c r="P5" s="50" t="s">
        <v>35</v>
      </c>
      <c r="Q5" s="32"/>
      <c r="R5" s="42"/>
    </row>
    <row r="6" spans="1:18" ht="15.75" thickBot="1">
      <c r="A6" s="15" t="s">
        <v>18</v>
      </c>
      <c r="B6" s="15">
        <v>3</v>
      </c>
      <c r="C6" s="15">
        <v>8392</v>
      </c>
      <c r="K6" s="234"/>
      <c r="L6" s="235"/>
      <c r="M6" s="41" t="s">
        <v>9</v>
      </c>
      <c r="N6" s="32"/>
      <c r="O6" s="42"/>
      <c r="P6" s="50" t="s">
        <v>36</v>
      </c>
      <c r="Q6" s="32"/>
      <c r="R6" s="42"/>
    </row>
    <row r="7" spans="1:18" ht="15.75" thickBot="1">
      <c r="A7" s="15" t="s">
        <v>19</v>
      </c>
      <c r="B7" s="15">
        <v>3</v>
      </c>
      <c r="C7" s="15">
        <v>8497</v>
      </c>
      <c r="K7" s="220"/>
      <c r="L7" s="235"/>
      <c r="M7" s="41" t="s">
        <v>10</v>
      </c>
      <c r="N7" s="32"/>
      <c r="O7" s="42"/>
      <c r="P7" s="50" t="s">
        <v>37</v>
      </c>
      <c r="Q7" s="32"/>
      <c r="R7" s="42"/>
    </row>
    <row r="8" spans="1:18" ht="15.75" thickBot="1">
      <c r="A8" s="15" t="s">
        <v>20</v>
      </c>
      <c r="B8" s="15">
        <v>3</v>
      </c>
      <c r="C8" s="15">
        <v>8941</v>
      </c>
      <c r="K8" s="233" t="s">
        <v>68</v>
      </c>
      <c r="L8" s="235" t="s">
        <v>97</v>
      </c>
      <c r="M8" s="41" t="s">
        <v>4</v>
      </c>
      <c r="N8" s="27">
        <f>961+8303</f>
        <v>9264</v>
      </c>
      <c r="O8" s="42"/>
      <c r="P8" s="50" t="s">
        <v>35</v>
      </c>
      <c r="Q8" s="32">
        <f>7441+860</f>
        <v>8301</v>
      </c>
      <c r="R8" s="42"/>
    </row>
    <row r="9" spans="1:18" ht="15.75" thickBot="1">
      <c r="A9" s="15" t="s">
        <v>21</v>
      </c>
      <c r="B9" s="15">
        <v>3</v>
      </c>
      <c r="C9" s="15">
        <v>7246</v>
      </c>
      <c r="K9" s="234"/>
      <c r="L9" s="235"/>
      <c r="M9" s="41" t="s">
        <v>9</v>
      </c>
      <c r="N9" s="32">
        <f>8456+983</f>
        <v>9439</v>
      </c>
      <c r="O9" s="42"/>
      <c r="P9" s="50" t="s">
        <v>36</v>
      </c>
      <c r="Q9" s="27">
        <f>1035+8128</f>
        <v>9163</v>
      </c>
      <c r="R9" s="42"/>
    </row>
    <row r="10" spans="1:18" ht="15.75" thickBot="1">
      <c r="A10" s="15" t="s">
        <v>22</v>
      </c>
      <c r="B10" s="15">
        <v>3</v>
      </c>
      <c r="C10" s="15">
        <v>8732</v>
      </c>
      <c r="K10" s="220"/>
      <c r="L10" s="235"/>
      <c r="M10" s="41" t="s">
        <v>10</v>
      </c>
      <c r="N10" s="27">
        <f>7883+930</f>
        <v>8813</v>
      </c>
      <c r="O10" s="42"/>
      <c r="P10" s="50" t="s">
        <v>37</v>
      </c>
      <c r="Q10" s="27">
        <f>7843+973</f>
        <v>8816</v>
      </c>
      <c r="R10" s="42"/>
    </row>
    <row r="11" spans="1:18" ht="15.75" thickBot="1">
      <c r="A11" s="15" t="s">
        <v>23</v>
      </c>
      <c r="B11" s="15">
        <v>3</v>
      </c>
      <c r="C11" s="15">
        <v>8527</v>
      </c>
      <c r="K11" s="233" t="s">
        <v>66</v>
      </c>
      <c r="L11" s="235" t="s">
        <v>96</v>
      </c>
      <c r="M11" s="41" t="s">
        <v>38</v>
      </c>
      <c r="N11">
        <v>69</v>
      </c>
      <c r="P11" s="41" t="s">
        <v>41</v>
      </c>
      <c r="Q11">
        <v>332</v>
      </c>
    </row>
    <row r="12" spans="1:18" ht="15.75" thickBot="1">
      <c r="A12" s="15" t="s">
        <v>24</v>
      </c>
      <c r="B12" s="15">
        <v>3</v>
      </c>
      <c r="C12" s="15">
        <v>8562</v>
      </c>
      <c r="K12" s="234"/>
      <c r="L12" s="235"/>
      <c r="M12" s="41" t="s">
        <v>39</v>
      </c>
      <c r="N12">
        <v>217</v>
      </c>
      <c r="P12" s="41" t="s">
        <v>42</v>
      </c>
      <c r="Q12">
        <v>303</v>
      </c>
    </row>
    <row r="13" spans="1:18" ht="15.75" thickBot="1">
      <c r="A13" s="15" t="s">
        <v>25</v>
      </c>
      <c r="B13" s="15">
        <v>3</v>
      </c>
      <c r="C13" s="15">
        <v>7839</v>
      </c>
      <c r="K13" s="220"/>
      <c r="L13" s="235"/>
      <c r="M13" s="41" t="s">
        <v>40</v>
      </c>
      <c r="N13">
        <v>203</v>
      </c>
      <c r="P13" s="41" t="s">
        <v>43</v>
      </c>
    </row>
    <row r="14" spans="1:18" ht="15.75" thickBot="1">
      <c r="A14" s="15" t="s">
        <v>26</v>
      </c>
      <c r="B14" s="19">
        <v>3</v>
      </c>
      <c r="C14" s="19">
        <v>7601</v>
      </c>
      <c r="K14" s="233" t="s">
        <v>67</v>
      </c>
      <c r="L14" s="235" t="s">
        <v>92</v>
      </c>
      <c r="M14" s="41" t="s">
        <v>38</v>
      </c>
      <c r="N14">
        <v>41</v>
      </c>
      <c r="P14" s="41" t="s">
        <v>41</v>
      </c>
    </row>
    <row r="15" spans="1:18" ht="15.75" thickBot="1">
      <c r="A15" s="18" t="s">
        <v>27</v>
      </c>
      <c r="B15" s="20"/>
      <c r="C15" s="21">
        <f>SUM(C3:C14)</f>
        <v>99646</v>
      </c>
      <c r="K15" s="234"/>
      <c r="L15" s="235"/>
      <c r="M15" s="41" t="s">
        <v>39</v>
      </c>
      <c r="N15">
        <v>409</v>
      </c>
      <c r="P15" s="41" t="s">
        <v>42</v>
      </c>
    </row>
    <row r="16" spans="1:18" ht="15.75" thickBot="1">
      <c r="A16" s="238" t="s">
        <v>44</v>
      </c>
      <c r="B16" s="238"/>
      <c r="C16" s="238"/>
      <c r="K16" s="220"/>
      <c r="L16" s="235"/>
      <c r="M16" s="41" t="s">
        <v>40</v>
      </c>
      <c r="P16" s="41" t="s">
        <v>43</v>
      </c>
    </row>
    <row r="17" spans="1:21" ht="15.75" thickBot="1">
      <c r="A17" s="31" t="s">
        <v>4</v>
      </c>
      <c r="B17" s="15">
        <v>3</v>
      </c>
      <c r="C17" s="15">
        <f>197+271+13+7083</f>
        <v>7564</v>
      </c>
      <c r="D17">
        <v>8248</v>
      </c>
      <c r="E17">
        <f t="shared" ref="E17:E22" si="0">D17-C17</f>
        <v>684</v>
      </c>
      <c r="F17" s="237" t="s">
        <v>69</v>
      </c>
      <c r="G17" s="237"/>
      <c r="H17" s="237"/>
      <c r="I17" s="237"/>
      <c r="K17" s="233" t="s">
        <v>68</v>
      </c>
      <c r="L17" s="235" t="s">
        <v>97</v>
      </c>
      <c r="M17" s="41" t="s">
        <v>38</v>
      </c>
      <c r="N17">
        <f>7936+956</f>
        <v>8892</v>
      </c>
      <c r="P17" s="41" t="s">
        <v>41</v>
      </c>
      <c r="Q17">
        <f>6944+917</f>
        <v>7861</v>
      </c>
    </row>
    <row r="18" spans="1:21" ht="15.75" thickBot="1">
      <c r="A18" s="31" t="s">
        <v>9</v>
      </c>
      <c r="B18" s="15">
        <v>3</v>
      </c>
      <c r="C18" s="15">
        <f>179+273+20+8034</f>
        <v>8506</v>
      </c>
      <c r="D18">
        <v>7242</v>
      </c>
      <c r="E18">
        <f t="shared" si="0"/>
        <v>-1264</v>
      </c>
      <c r="F18" s="33" t="s">
        <v>65</v>
      </c>
      <c r="G18" s="33" t="s">
        <v>66</v>
      </c>
      <c r="H18" s="33" t="s">
        <v>67</v>
      </c>
      <c r="I18" s="33" t="s">
        <v>68</v>
      </c>
      <c r="K18" s="234"/>
      <c r="L18" s="235"/>
      <c r="M18" s="41" t="s">
        <v>39</v>
      </c>
      <c r="N18">
        <f>8339+863</f>
        <v>9202</v>
      </c>
      <c r="P18" s="41" t="s">
        <v>42</v>
      </c>
      <c r="Q18">
        <f>7583+976</f>
        <v>8559</v>
      </c>
    </row>
    <row r="19" spans="1:21" ht="15.75" thickBot="1">
      <c r="A19" s="31" t="s">
        <v>10</v>
      </c>
      <c r="B19" s="15">
        <v>3</v>
      </c>
      <c r="C19" s="15">
        <f>191+249+104+7477</f>
        <v>8021</v>
      </c>
      <c r="D19">
        <v>8368</v>
      </c>
      <c r="E19">
        <f t="shared" si="0"/>
        <v>347</v>
      </c>
      <c r="F19" s="17" t="s">
        <v>91</v>
      </c>
      <c r="G19" s="7" t="s">
        <v>96</v>
      </c>
      <c r="H19" s="7" t="s">
        <v>92</v>
      </c>
      <c r="I19" s="7" t="s">
        <v>97</v>
      </c>
      <c r="K19" s="220"/>
      <c r="L19" s="235"/>
      <c r="M19" s="41" t="s">
        <v>40</v>
      </c>
      <c r="N19">
        <f>7828+814</f>
        <v>8642</v>
      </c>
      <c r="P19" s="41" t="s">
        <v>43</v>
      </c>
    </row>
    <row r="20" spans="1:21" ht="15.75" thickBot="1">
      <c r="A20" s="31" t="s">
        <v>35</v>
      </c>
      <c r="B20" s="15">
        <v>3</v>
      </c>
      <c r="C20" s="15">
        <f>217+278+75+8311</f>
        <v>8881</v>
      </c>
      <c r="D20">
        <v>8405</v>
      </c>
      <c r="E20">
        <f t="shared" si="0"/>
        <v>-476</v>
      </c>
      <c r="F20" s="40" t="s">
        <v>38</v>
      </c>
      <c r="G20" s="32">
        <v>190</v>
      </c>
      <c r="H20" s="32">
        <v>229</v>
      </c>
      <c r="I20" s="32">
        <v>8403</v>
      </c>
      <c r="K20" s="31"/>
      <c r="L20" s="45"/>
      <c r="M20" s="45"/>
      <c r="N20" s="45"/>
      <c r="O20" s="31"/>
      <c r="P20" s="46"/>
    </row>
    <row r="21" spans="1:21" ht="15.75" thickBot="1">
      <c r="A21" s="31" t="s">
        <v>36</v>
      </c>
      <c r="B21" s="15">
        <v>3</v>
      </c>
      <c r="C21" s="15">
        <f>190+204+8+7844</f>
        <v>8246</v>
      </c>
      <c r="D21">
        <v>7727</v>
      </c>
      <c r="E21">
        <f t="shared" si="0"/>
        <v>-519</v>
      </c>
      <c r="F21" s="40" t="s">
        <v>39</v>
      </c>
      <c r="G21" s="32">
        <v>225</v>
      </c>
      <c r="H21" s="32">
        <v>199</v>
      </c>
      <c r="I21" s="32">
        <v>8474</v>
      </c>
      <c r="K21" s="31"/>
      <c r="L21" s="45"/>
      <c r="M21" s="45"/>
      <c r="N21" s="45"/>
      <c r="O21" s="31"/>
      <c r="P21" s="46"/>
    </row>
    <row r="22" spans="1:21" ht="15.75" thickBot="1">
      <c r="A22" s="31" t="s">
        <v>37</v>
      </c>
      <c r="B22" s="15">
        <v>3</v>
      </c>
      <c r="C22" s="15">
        <f>229+172+21+8111</f>
        <v>8533</v>
      </c>
      <c r="D22">
        <v>8301</v>
      </c>
      <c r="E22">
        <f t="shared" si="0"/>
        <v>-232</v>
      </c>
      <c r="F22" s="40" t="s">
        <v>40</v>
      </c>
      <c r="G22" s="32">
        <v>260</v>
      </c>
      <c r="H22" s="32">
        <v>191</v>
      </c>
      <c r="I22" s="32">
        <v>8040</v>
      </c>
      <c r="K22" s="31"/>
      <c r="L22" s="45"/>
      <c r="M22" s="45"/>
      <c r="N22" s="45"/>
      <c r="O22" s="31"/>
      <c r="P22" s="46"/>
    </row>
    <row r="23" spans="1:21" ht="15.75" thickBot="1">
      <c r="A23" s="31" t="s">
        <v>38</v>
      </c>
      <c r="B23" s="15">
        <v>3</v>
      </c>
      <c r="C23" s="15">
        <v>8822</v>
      </c>
      <c r="D23">
        <f>SUM(D17:D22)</f>
        <v>48291</v>
      </c>
      <c r="E23">
        <f>SUM(E17:E22)</f>
        <v>-1460</v>
      </c>
      <c r="F23" s="40" t="s">
        <v>41</v>
      </c>
      <c r="G23" s="32">
        <v>224</v>
      </c>
      <c r="H23" s="32">
        <v>174</v>
      </c>
      <c r="I23" s="32">
        <v>8113</v>
      </c>
      <c r="K23" s="240" t="s">
        <v>95</v>
      </c>
      <c r="L23" s="240"/>
      <c r="M23" s="240"/>
      <c r="N23" s="240"/>
      <c r="O23" s="240"/>
      <c r="P23" s="240" t="s">
        <v>98</v>
      </c>
      <c r="Q23" s="240"/>
      <c r="R23" s="240"/>
    </row>
    <row r="24" spans="1:21" ht="15.75" thickBot="1">
      <c r="A24" s="31" t="s">
        <v>39</v>
      </c>
      <c r="B24" s="15">
        <v>3</v>
      </c>
      <c r="C24" s="15">
        <v>8898</v>
      </c>
      <c r="D24">
        <f>SUM(C17:C22)</f>
        <v>49751</v>
      </c>
      <c r="E24">
        <f>E23/D24</f>
        <v>-2.9346143796104601E-2</v>
      </c>
      <c r="F24" s="40" t="s">
        <v>42</v>
      </c>
      <c r="G24" s="32">
        <v>227</v>
      </c>
      <c r="H24" s="32">
        <v>178</v>
      </c>
      <c r="I24" s="32">
        <v>7355</v>
      </c>
      <c r="K24" s="1"/>
      <c r="L24" s="24" t="s">
        <v>91</v>
      </c>
      <c r="M24" s="24" t="s">
        <v>65</v>
      </c>
      <c r="N24" s="24" t="s">
        <v>94</v>
      </c>
      <c r="O24" s="24" t="s">
        <v>93</v>
      </c>
      <c r="P24" s="49" t="s">
        <v>65</v>
      </c>
      <c r="Q24" s="49" t="s">
        <v>94</v>
      </c>
      <c r="R24" s="93" t="s">
        <v>93</v>
      </c>
    </row>
    <row r="25" spans="1:21" ht="15.75" thickBot="1">
      <c r="A25" s="31" t="s">
        <v>40</v>
      </c>
      <c r="B25" s="15">
        <v>3</v>
      </c>
      <c r="C25" s="15">
        <v>8491</v>
      </c>
      <c r="F25" s="40" t="s">
        <v>43</v>
      </c>
      <c r="G25" s="32">
        <v>206</v>
      </c>
      <c r="H25" s="32">
        <v>155</v>
      </c>
      <c r="I25" s="32">
        <v>7943</v>
      </c>
      <c r="K25" s="233" t="s">
        <v>66</v>
      </c>
      <c r="L25" s="235" t="s">
        <v>96</v>
      </c>
      <c r="M25" s="41" t="s">
        <v>4</v>
      </c>
      <c r="N25" s="32">
        <v>167</v>
      </c>
      <c r="O25" s="28">
        <v>102680</v>
      </c>
      <c r="P25" s="50" t="s">
        <v>35</v>
      </c>
      <c r="Q25" s="32">
        <v>216</v>
      </c>
      <c r="R25" s="28">
        <v>136910</v>
      </c>
      <c r="S25" t="s">
        <v>146</v>
      </c>
      <c r="T25">
        <f t="shared" ref="T25:U27" si="1">N25+N28+N31</f>
        <v>8248</v>
      </c>
      <c r="U25" s="23">
        <f t="shared" si="1"/>
        <v>3574950</v>
      </c>
    </row>
    <row r="26" spans="1:21" ht="15.75" thickBot="1">
      <c r="A26" s="31"/>
      <c r="B26" s="15"/>
      <c r="C26" s="15"/>
      <c r="F26" s="44"/>
      <c r="G26" s="45"/>
      <c r="H26" s="45"/>
      <c r="I26" s="45"/>
      <c r="K26" s="234"/>
      <c r="L26" s="235"/>
      <c r="M26" s="41" t="s">
        <v>9</v>
      </c>
      <c r="N26" s="32">
        <v>160</v>
      </c>
      <c r="O26" s="28">
        <v>99650</v>
      </c>
      <c r="P26" s="50" t="s">
        <v>36</v>
      </c>
      <c r="Q26" s="32">
        <v>169</v>
      </c>
      <c r="R26" s="28">
        <v>102690</v>
      </c>
      <c r="T26">
        <f t="shared" si="1"/>
        <v>7242</v>
      </c>
      <c r="U26" s="23">
        <f t="shared" si="1"/>
        <v>8637620</v>
      </c>
    </row>
    <row r="27" spans="1:21" ht="15.75" thickBot="1">
      <c r="A27" s="31" t="s">
        <v>41</v>
      </c>
      <c r="B27" s="15">
        <v>3</v>
      </c>
      <c r="C27" s="15">
        <v>8511</v>
      </c>
      <c r="K27" s="220"/>
      <c r="L27" s="235"/>
      <c r="M27" s="41" t="s">
        <v>10</v>
      </c>
      <c r="N27" s="32">
        <v>169</v>
      </c>
      <c r="O27" s="28">
        <v>107840</v>
      </c>
      <c r="P27" s="50" t="s">
        <v>37</v>
      </c>
      <c r="Q27" s="32">
        <v>169</v>
      </c>
      <c r="R27" s="28">
        <v>101850</v>
      </c>
      <c r="T27">
        <f t="shared" si="1"/>
        <v>8368</v>
      </c>
      <c r="U27" s="23">
        <f t="shared" si="1"/>
        <v>4376130</v>
      </c>
    </row>
    <row r="28" spans="1:21" ht="15.75" thickBot="1">
      <c r="A28" s="31" t="s">
        <v>42</v>
      </c>
      <c r="B28" s="15">
        <v>3</v>
      </c>
      <c r="C28" s="15">
        <v>7760</v>
      </c>
      <c r="K28" s="233" t="s">
        <v>67</v>
      </c>
      <c r="L28" s="235" t="s">
        <v>92</v>
      </c>
      <c r="M28" s="41" t="s">
        <v>4</v>
      </c>
      <c r="N28" s="32">
        <v>187</v>
      </c>
      <c r="O28" s="42"/>
      <c r="P28" s="50" t="s">
        <v>35</v>
      </c>
      <c r="Q28" s="32">
        <v>180</v>
      </c>
      <c r="R28" s="42">
        <v>85360</v>
      </c>
      <c r="T28">
        <f t="shared" ref="T28:U30" si="2">Q25+Q28+Q31</f>
        <v>8405</v>
      </c>
      <c r="U28" s="23">
        <f t="shared" si="2"/>
        <v>4481110</v>
      </c>
    </row>
    <row r="29" spans="1:21" ht="15.75" thickBot="1">
      <c r="A29" s="31"/>
      <c r="B29" s="15"/>
      <c r="C29" s="15"/>
      <c r="E29" s="69">
        <f>0.0293/100537</f>
        <v>2.9143499408178084E-7</v>
      </c>
      <c r="K29" s="234"/>
      <c r="L29" s="235"/>
      <c r="M29" s="41" t="s">
        <v>9</v>
      </c>
      <c r="N29" s="32">
        <v>145</v>
      </c>
      <c r="O29" s="42">
        <v>63970</v>
      </c>
      <c r="P29" s="50" t="s">
        <v>36</v>
      </c>
      <c r="Q29" s="32">
        <v>164</v>
      </c>
      <c r="R29" s="42">
        <v>76340</v>
      </c>
      <c r="T29">
        <f t="shared" si="2"/>
        <v>7727</v>
      </c>
      <c r="U29" s="23">
        <f t="shared" si="2"/>
        <v>4084584</v>
      </c>
    </row>
    <row r="30" spans="1:21" ht="15.75" thickBot="1">
      <c r="A30" s="31" t="s">
        <v>43</v>
      </c>
      <c r="B30" s="15">
        <v>3</v>
      </c>
      <c r="C30" s="15">
        <v>8304</v>
      </c>
      <c r="K30" s="220"/>
      <c r="L30" s="235"/>
      <c r="M30" s="41" t="s">
        <v>10</v>
      </c>
      <c r="N30" s="32">
        <v>153</v>
      </c>
      <c r="O30" s="42">
        <v>92350</v>
      </c>
      <c r="P30" s="50" t="s">
        <v>37</v>
      </c>
      <c r="Q30" s="32">
        <v>149</v>
      </c>
      <c r="R30" s="42">
        <v>65600</v>
      </c>
      <c r="T30">
        <f t="shared" si="2"/>
        <v>8301</v>
      </c>
      <c r="U30" s="23">
        <f t="shared" si="2"/>
        <v>4116530</v>
      </c>
    </row>
    <row r="31" spans="1:21">
      <c r="C31" s="16">
        <f>SUM(C17:C30)</f>
        <v>100537</v>
      </c>
      <c r="K31" s="233" t="s">
        <v>68</v>
      </c>
      <c r="L31" s="235" t="s">
        <v>97</v>
      </c>
      <c r="M31" s="41" t="s">
        <v>4</v>
      </c>
      <c r="N31" s="27">
        <f>7417+477</f>
        <v>7894</v>
      </c>
      <c r="O31" s="42">
        <f>3472270</f>
        <v>3472270</v>
      </c>
      <c r="P31" s="50" t="s">
        <v>35</v>
      </c>
      <c r="Q31" s="27">
        <f>365+7644</f>
        <v>8009</v>
      </c>
      <c r="R31" s="42">
        <f>194090+4064750</f>
        <v>4258840</v>
      </c>
    </row>
    <row r="32" spans="1:21">
      <c r="C32" s="16"/>
      <c r="K32" s="234"/>
      <c r="L32" s="235"/>
      <c r="M32" s="41" t="s">
        <v>9</v>
      </c>
      <c r="N32" s="27">
        <f>6569+368</f>
        <v>6937</v>
      </c>
      <c r="O32" s="42">
        <v>8474000</v>
      </c>
      <c r="P32" s="50" t="s">
        <v>36</v>
      </c>
      <c r="Q32" s="27">
        <f>7079+315</f>
        <v>7394</v>
      </c>
      <c r="R32" s="42">
        <f>3739169+166385</f>
        <v>3905554</v>
      </c>
    </row>
    <row r="33" spans="1:20" ht="15.75" thickBot="1">
      <c r="A33" s="238" t="s">
        <v>87</v>
      </c>
      <c r="B33" s="238"/>
      <c r="C33" s="238"/>
      <c r="E33" s="43"/>
      <c r="F33" s="43"/>
      <c r="G33" s="43"/>
      <c r="H33" s="43"/>
      <c r="I33" s="43"/>
      <c r="J33" s="43"/>
      <c r="K33" s="220"/>
      <c r="L33" s="235"/>
      <c r="M33" s="41" t="s">
        <v>10</v>
      </c>
      <c r="N33" s="27">
        <f>7665+381</f>
        <v>8046</v>
      </c>
      <c r="O33" s="42">
        <f>3978200+197740</f>
        <v>4175940</v>
      </c>
      <c r="P33" s="50" t="s">
        <v>37</v>
      </c>
      <c r="Q33" s="27">
        <f>7663+320</f>
        <v>7983</v>
      </c>
      <c r="R33" s="42">
        <f>3880110+68970</f>
        <v>3949080</v>
      </c>
      <c r="S33" s="23">
        <f>SUM(R25:R33)</f>
        <v>12682224</v>
      </c>
    </row>
    <row r="34" spans="1:20" ht="15.75" thickBot="1">
      <c r="A34" s="31" t="s">
        <v>4</v>
      </c>
      <c r="B34" s="15">
        <v>3</v>
      </c>
      <c r="C34" s="15">
        <f>SUM(L20:N20)</f>
        <v>0</v>
      </c>
      <c r="D34">
        <f>C34-C17</f>
        <v>-7564</v>
      </c>
      <c r="E34" s="43"/>
      <c r="F34" s="239"/>
      <c r="G34" s="239"/>
      <c r="H34" s="239"/>
      <c r="I34" s="239"/>
      <c r="J34" s="43"/>
      <c r="K34" s="241" t="s">
        <v>66</v>
      </c>
      <c r="L34" s="244" t="s">
        <v>96</v>
      </c>
      <c r="M34" s="82" t="s">
        <v>38</v>
      </c>
      <c r="N34" s="83">
        <v>169</v>
      </c>
      <c r="O34" s="84">
        <v>101850</v>
      </c>
      <c r="P34" s="73" t="s">
        <v>41</v>
      </c>
      <c r="Q34" s="74">
        <v>165</v>
      </c>
      <c r="R34" s="94">
        <v>115260</v>
      </c>
      <c r="S34" s="70"/>
    </row>
    <row r="35" spans="1:20" ht="15.75" thickBot="1">
      <c r="A35" s="31" t="s">
        <v>9</v>
      </c>
      <c r="B35" s="15">
        <v>3</v>
      </c>
      <c r="C35" s="15">
        <f>SUM(L21:N21)</f>
        <v>0</v>
      </c>
      <c r="D35">
        <f>C35-C18</f>
        <v>-8506</v>
      </c>
      <c r="E35" s="43"/>
      <c r="F35" s="22"/>
      <c r="G35" s="22"/>
      <c r="H35" s="22"/>
      <c r="I35" s="22"/>
      <c r="J35" s="43"/>
      <c r="K35" s="242"/>
      <c r="L35" s="244"/>
      <c r="M35" s="82" t="s">
        <v>39</v>
      </c>
      <c r="N35" s="83">
        <v>160</v>
      </c>
      <c r="O35" s="84">
        <v>95730</v>
      </c>
      <c r="P35" s="73" t="s">
        <v>42</v>
      </c>
      <c r="Q35" s="87">
        <v>181</v>
      </c>
      <c r="R35" s="94">
        <v>110470</v>
      </c>
      <c r="S35" s="88"/>
      <c r="T35" s="89"/>
    </row>
    <row r="36" spans="1:20" ht="15.75" thickBot="1">
      <c r="A36" s="31" t="s">
        <v>10</v>
      </c>
      <c r="B36" s="15">
        <v>3</v>
      </c>
      <c r="C36" s="15">
        <f>SUM(L22:N22)</f>
        <v>0</v>
      </c>
      <c r="D36">
        <f>C36-C19</f>
        <v>-8021</v>
      </c>
      <c r="E36" s="43"/>
      <c r="F36" s="45"/>
      <c r="G36" s="45"/>
      <c r="H36" s="45"/>
      <c r="I36" s="45"/>
      <c r="J36" s="43"/>
      <c r="K36" s="243"/>
      <c r="L36" s="244"/>
      <c r="M36" s="82" t="s">
        <v>40</v>
      </c>
      <c r="N36" s="83">
        <v>191</v>
      </c>
      <c r="O36" s="84">
        <v>118150</v>
      </c>
      <c r="P36" s="73" t="s">
        <v>43</v>
      </c>
      <c r="Q36" s="87">
        <v>172</v>
      </c>
      <c r="R36" s="94">
        <v>118311</v>
      </c>
      <c r="S36" s="88"/>
      <c r="T36" s="89"/>
    </row>
    <row r="37" spans="1:20" ht="60" customHeight="1">
      <c r="A37" s="223" t="s">
        <v>45</v>
      </c>
      <c r="B37" s="223"/>
      <c r="C37" s="223"/>
      <c r="K37" s="241" t="s">
        <v>67</v>
      </c>
      <c r="L37" s="244" t="s">
        <v>92</v>
      </c>
      <c r="M37" s="82" t="s">
        <v>38</v>
      </c>
      <c r="N37" s="83">
        <v>186</v>
      </c>
      <c r="O37" s="84">
        <v>83620</v>
      </c>
      <c r="P37" s="73" t="s">
        <v>41</v>
      </c>
      <c r="Q37" s="87">
        <v>150</v>
      </c>
      <c r="R37" s="94">
        <v>67860</v>
      </c>
      <c r="S37" s="88"/>
      <c r="T37" s="89"/>
    </row>
    <row r="38" spans="1:20" ht="15" customHeight="1">
      <c r="A38" s="236" t="s">
        <v>46</v>
      </c>
      <c r="B38" s="236"/>
      <c r="C38" s="236"/>
      <c r="D38" s="236"/>
      <c r="E38" s="236"/>
      <c r="K38" s="242"/>
      <c r="L38" s="244"/>
      <c r="M38" s="82" t="s">
        <v>39</v>
      </c>
      <c r="N38" s="83">
        <v>170</v>
      </c>
      <c r="O38" s="84">
        <v>75140</v>
      </c>
      <c r="P38" s="73" t="s">
        <v>42</v>
      </c>
      <c r="Q38" s="87">
        <v>172</v>
      </c>
      <c r="R38" s="94">
        <v>80020</v>
      </c>
      <c r="S38" s="88"/>
      <c r="T38" s="89"/>
    </row>
    <row r="39" spans="1:20" ht="145.5" customHeight="1">
      <c r="A39" s="236"/>
      <c r="B39" s="236"/>
      <c r="C39" s="236"/>
      <c r="D39" s="236"/>
      <c r="E39" s="236"/>
      <c r="K39" s="243"/>
      <c r="L39" s="244"/>
      <c r="M39" s="82" t="s">
        <v>40</v>
      </c>
      <c r="N39" s="83">
        <v>168</v>
      </c>
      <c r="O39" s="85">
        <v>76580</v>
      </c>
      <c r="P39" s="73" t="s">
        <v>43</v>
      </c>
      <c r="Q39" s="87">
        <v>142</v>
      </c>
      <c r="R39" s="94">
        <v>70150</v>
      </c>
      <c r="S39" s="88"/>
      <c r="T39" s="89"/>
    </row>
    <row r="40" spans="1:20">
      <c r="K40" s="241" t="s">
        <v>68</v>
      </c>
      <c r="L40" s="244" t="s">
        <v>97</v>
      </c>
      <c r="M40" s="82" t="s">
        <v>38</v>
      </c>
      <c r="N40" s="83">
        <f>7663+320</f>
        <v>7983</v>
      </c>
      <c r="O40" s="84">
        <f>3880110+68970</f>
        <v>3949080</v>
      </c>
      <c r="P40" s="73" t="s">
        <v>41</v>
      </c>
      <c r="Q40" s="87">
        <f>7923+339</f>
        <v>8262</v>
      </c>
      <c r="R40" s="94">
        <f>3536170+180900</f>
        <v>3717070</v>
      </c>
      <c r="S40" s="88"/>
      <c r="T40" s="90"/>
    </row>
    <row r="41" spans="1:20">
      <c r="K41" s="242"/>
      <c r="L41" s="244"/>
      <c r="M41" s="82" t="s">
        <v>39</v>
      </c>
      <c r="N41" s="83">
        <f>7895+340</f>
        <v>8235</v>
      </c>
      <c r="O41" s="84">
        <f>3964980+170750</f>
        <v>4135730</v>
      </c>
      <c r="P41" s="73" t="s">
        <v>42</v>
      </c>
      <c r="Q41" s="87">
        <f>289+6743</f>
        <v>7032</v>
      </c>
      <c r="R41" s="94">
        <f>222260+3962920</f>
        <v>4185180</v>
      </c>
      <c r="S41" s="88"/>
      <c r="T41" s="89"/>
    </row>
    <row r="42" spans="1:20">
      <c r="K42" s="243"/>
      <c r="L42" s="244"/>
      <c r="M42" s="82" t="s">
        <v>40</v>
      </c>
      <c r="N42" s="83">
        <f>321+7005</f>
        <v>7326</v>
      </c>
      <c r="O42" s="84">
        <f>160050+3492730</f>
        <v>3652780</v>
      </c>
      <c r="P42" s="73" t="s">
        <v>43</v>
      </c>
      <c r="Q42" s="87">
        <f>424+7560</f>
        <v>7984</v>
      </c>
      <c r="R42" s="94">
        <f>201770+3509650</f>
        <v>3711420</v>
      </c>
      <c r="S42" s="88"/>
      <c r="T42" s="89"/>
    </row>
    <row r="43" spans="1:20">
      <c r="K43" s="30" t="s">
        <v>150</v>
      </c>
      <c r="L43" s="30">
        <v>376873</v>
      </c>
      <c r="M43" s="82" t="s">
        <v>39</v>
      </c>
      <c r="N43" s="86">
        <v>63</v>
      </c>
      <c r="O43" s="84"/>
      <c r="P43" s="73" t="s">
        <v>41</v>
      </c>
      <c r="Q43" s="87">
        <v>112</v>
      </c>
      <c r="R43" s="94">
        <v>169840</v>
      </c>
      <c r="S43" s="88"/>
      <c r="T43" s="89"/>
    </row>
    <row r="44" spans="1:20">
      <c r="K44" s="30"/>
      <c r="L44" s="30"/>
      <c r="M44" s="82" t="s">
        <v>40</v>
      </c>
      <c r="N44" s="86">
        <v>123</v>
      </c>
      <c r="O44" s="84">
        <v>93890</v>
      </c>
      <c r="P44" s="73" t="s">
        <v>42</v>
      </c>
      <c r="Q44" s="87">
        <v>87</v>
      </c>
      <c r="R44" s="94">
        <v>144790</v>
      </c>
      <c r="S44" s="88"/>
      <c r="T44" s="89"/>
    </row>
    <row r="45" spans="1:20">
      <c r="N45" s="95">
        <f>SUM(N25:N44)</f>
        <v>48632</v>
      </c>
      <c r="O45" s="84">
        <v>73590</v>
      </c>
      <c r="P45" s="73" t="s">
        <v>43</v>
      </c>
      <c r="Q45" s="74">
        <v>52</v>
      </c>
      <c r="R45" s="94">
        <v>91250</v>
      </c>
      <c r="S45" s="91"/>
      <c r="T45" s="89"/>
    </row>
    <row r="46" spans="1:20">
      <c r="N46" s="95">
        <f>SUM(Q25:Q45)</f>
        <v>48944</v>
      </c>
      <c r="R46" s="96"/>
      <c r="S46" s="92"/>
      <c r="T46" s="89"/>
    </row>
    <row r="47" spans="1:20">
      <c r="M47" s="98" t="s">
        <v>159</v>
      </c>
      <c r="N47" s="97">
        <f>SUM(N45:N46)</f>
        <v>97576</v>
      </c>
    </row>
  </sheetData>
  <mergeCells count="34">
    <mergeCell ref="K34:K36"/>
    <mergeCell ref="L34:L36"/>
    <mergeCell ref="K37:K39"/>
    <mergeCell ref="L37:L39"/>
    <mergeCell ref="K40:K42"/>
    <mergeCell ref="L40:L42"/>
    <mergeCell ref="P23:R23"/>
    <mergeCell ref="K17:K19"/>
    <mergeCell ref="L17:L19"/>
    <mergeCell ref="A2:C2"/>
    <mergeCell ref="A16:C16"/>
    <mergeCell ref="K2:K4"/>
    <mergeCell ref="L2:L4"/>
    <mergeCell ref="K5:K7"/>
    <mergeCell ref="L5:L7"/>
    <mergeCell ref="K8:K10"/>
    <mergeCell ref="L8:L10"/>
    <mergeCell ref="K31:K33"/>
    <mergeCell ref="L31:L33"/>
    <mergeCell ref="K23:O23"/>
    <mergeCell ref="K25:K27"/>
    <mergeCell ref="L25:L27"/>
    <mergeCell ref="K28:K30"/>
    <mergeCell ref="L28:L30"/>
    <mergeCell ref="A38:E39"/>
    <mergeCell ref="A37:C37"/>
    <mergeCell ref="F17:I17"/>
    <mergeCell ref="A33:C33"/>
    <mergeCell ref="F34:I34"/>
    <mergeCell ref="K1:R1"/>
    <mergeCell ref="K11:K13"/>
    <mergeCell ref="L11:L13"/>
    <mergeCell ref="K14:K16"/>
    <mergeCell ref="L14:L16"/>
  </mergeCells>
  <dataValidations count="5">
    <dataValidation type="list" allowBlank="1" showInputMessage="1" showErrorMessage="1" errorTitle="Entrada no válida" error="Por favor seleccione un elemento de la lista" promptTitle="Seleccione un elemento de la lista" sqref="A9:A14">
      <formula1>$A$351019:$A$351031</formula1>
    </dataValidation>
    <dataValidation type="textLength" allowBlank="1" showInputMessage="1" showErrorMessage="1" errorTitle="Entrada no válida" error="Escriba un texto " promptTitle="Cualquier contenido" prompt=" Escriba el numeral correspondiente a las sedes de acuerdo al reporte realizado en el formulario de &quot;Sedes&quot; del informe de &quot;Información Institucional&quot;. Ej. 1,2,3,4." sqref="B9">
      <formula1>0</formula1>
      <formula2>4000</formula2>
    </dataValidation>
    <dataValidation type="decimal" allowBlank="1" showInputMessage="1" showErrorMessage="1" errorTitle="Entrada no válida" error="Por favor escriba un número" promptTitle="Escriba un número en esta casilla" sqref="C14">
      <formula1>-9223372036854770000</formula1>
      <formula2>9223372036854770000</formula2>
    </dataValidation>
    <dataValidation type="textLength" allowBlank="1" showInputMessage="1" showErrorMessage="1" errorTitle="Entrada no válida" error="Escriba un texto " promptTitle="Cualquier contenido" sqref="B10:B14">
      <formula1>0</formula1>
      <formula2>4000</formula2>
    </dataValidation>
    <dataValidation type="list" allowBlank="1" showInputMessage="1" showErrorMessage="1" errorTitle="Entrada no válida" error="Por favor seleccione un elemento de la lista" promptTitle="Seleccione un elemento de la lista" sqref="A3:A8">
      <formula1>$A$351025:$A$351037</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0"/>
  <sheetViews>
    <sheetView workbookViewId="0">
      <selection activeCell="I20" sqref="I20"/>
    </sheetView>
  </sheetViews>
  <sheetFormatPr baseColWidth="10" defaultRowHeight="15"/>
  <cols>
    <col min="1" max="1" width="25.85546875" customWidth="1"/>
    <col min="2" max="2" width="14.85546875" customWidth="1"/>
    <col min="3" max="3" width="20" customWidth="1"/>
    <col min="4" max="4" width="15.42578125" customWidth="1"/>
    <col min="5" max="5" width="18.28515625" customWidth="1"/>
    <col min="6" max="6" width="26.42578125" customWidth="1"/>
    <col min="7" max="7" width="14.42578125" style="7" customWidth="1"/>
    <col min="8" max="8" width="14.7109375" style="7" customWidth="1"/>
    <col min="9" max="9" width="17.42578125" style="7" customWidth="1"/>
    <col min="10" max="10" width="14.42578125" style="99" customWidth="1"/>
    <col min="11" max="11" width="11.42578125" style="99"/>
    <col min="12" max="12" width="18.7109375" style="99" customWidth="1"/>
    <col min="13" max="13" width="28.28515625" customWidth="1"/>
    <col min="14" max="15" width="13.85546875" customWidth="1"/>
    <col min="16" max="16" width="19.5703125" customWidth="1"/>
  </cols>
  <sheetData>
    <row r="2" spans="1:12" ht="15.75" thickBot="1">
      <c r="G2"/>
      <c r="H2"/>
      <c r="I2"/>
      <c r="J2"/>
      <c r="K2"/>
      <c r="L2"/>
    </row>
    <row r="3" spans="1:12" ht="15.75" thickBot="1">
      <c r="F3" s="245" t="s">
        <v>296</v>
      </c>
      <c r="G3" s="246"/>
      <c r="H3" s="246"/>
      <c r="I3" s="247"/>
      <c r="J3" s="245" t="s">
        <v>290</v>
      </c>
      <c r="K3" s="246"/>
      <c r="L3" s="247"/>
    </row>
    <row r="4" spans="1:12" ht="45.75" customHeight="1" thickBot="1">
      <c r="A4" s="228" t="s">
        <v>279</v>
      </c>
      <c r="B4" s="229"/>
      <c r="C4" s="230"/>
      <c r="F4" s="169" t="s">
        <v>91</v>
      </c>
      <c r="G4" s="169" t="s">
        <v>65</v>
      </c>
      <c r="H4" s="169" t="s">
        <v>113</v>
      </c>
      <c r="I4" s="169" t="s">
        <v>93</v>
      </c>
      <c r="J4" s="169" t="s">
        <v>65</v>
      </c>
      <c r="K4" s="169" t="s">
        <v>113</v>
      </c>
      <c r="L4" s="169" t="s">
        <v>93</v>
      </c>
    </row>
    <row r="5" spans="1:12">
      <c r="A5" s="226" t="s">
        <v>65</v>
      </c>
      <c r="B5" s="226" t="s">
        <v>291</v>
      </c>
      <c r="C5" s="226" t="s">
        <v>287</v>
      </c>
      <c r="E5" s="231" t="s">
        <v>66</v>
      </c>
      <c r="F5" s="221" t="s">
        <v>96</v>
      </c>
      <c r="G5" s="163" t="s">
        <v>4</v>
      </c>
      <c r="H5" s="53">
        <v>191</v>
      </c>
      <c r="I5" s="55">
        <v>149660</v>
      </c>
      <c r="J5" s="164" t="s">
        <v>35</v>
      </c>
      <c r="K5" s="165">
        <v>140</v>
      </c>
      <c r="L5" s="166">
        <v>297350</v>
      </c>
    </row>
    <row r="6" spans="1:12" ht="15.75" thickBot="1">
      <c r="A6" s="227"/>
      <c r="B6" s="227"/>
      <c r="C6" s="227"/>
      <c r="E6" s="248"/>
      <c r="F6" s="221"/>
      <c r="G6" s="163" t="s">
        <v>9</v>
      </c>
      <c r="H6" s="53">
        <v>158</v>
      </c>
      <c r="I6" s="55">
        <v>155750</v>
      </c>
      <c r="J6" s="164" t="s">
        <v>36</v>
      </c>
      <c r="K6" s="165">
        <v>144</v>
      </c>
      <c r="L6" s="166">
        <v>184040</v>
      </c>
    </row>
    <row r="7" spans="1:12" ht="15.75" thickBot="1">
      <c r="A7" s="15" t="s">
        <v>4</v>
      </c>
      <c r="B7" s="168">
        <v>7651</v>
      </c>
      <c r="C7" s="167">
        <v>3976250</v>
      </c>
      <c r="E7" s="225"/>
      <c r="F7" s="221"/>
      <c r="G7" s="163" t="s">
        <v>10</v>
      </c>
      <c r="H7" s="53">
        <v>160</v>
      </c>
      <c r="I7" s="55">
        <v>145600</v>
      </c>
      <c r="J7" s="164" t="s">
        <v>37</v>
      </c>
      <c r="K7" s="165">
        <v>199</v>
      </c>
      <c r="L7" s="166">
        <v>188130</v>
      </c>
    </row>
    <row r="8" spans="1:12" ht="15.75" thickBot="1">
      <c r="A8" s="15" t="s">
        <v>9</v>
      </c>
      <c r="B8" s="168">
        <v>7291</v>
      </c>
      <c r="C8" s="167">
        <v>3902160</v>
      </c>
      <c r="E8" s="224" t="s">
        <v>67</v>
      </c>
      <c r="F8" s="221" t="s">
        <v>92</v>
      </c>
      <c r="G8" s="163" t="s">
        <v>4</v>
      </c>
      <c r="H8" s="53">
        <v>176</v>
      </c>
      <c r="I8" s="55">
        <v>111490</v>
      </c>
      <c r="J8" s="164" t="s">
        <v>35</v>
      </c>
      <c r="K8" s="165">
        <v>122</v>
      </c>
      <c r="L8" s="166">
        <v>88620</v>
      </c>
    </row>
    <row r="9" spans="1:12" ht="21" customHeight="1" thickBot="1">
      <c r="A9" s="15" t="s">
        <v>10</v>
      </c>
      <c r="B9" s="168">
        <v>7111</v>
      </c>
      <c r="C9" s="167">
        <v>4024802</v>
      </c>
      <c r="E9" s="248"/>
      <c r="F9" s="221"/>
      <c r="G9" s="163" t="s">
        <v>9</v>
      </c>
      <c r="H9" s="53">
        <v>215</v>
      </c>
      <c r="I9" s="55">
        <v>107410</v>
      </c>
      <c r="J9" s="164" t="s">
        <v>36</v>
      </c>
      <c r="K9" s="165">
        <v>114</v>
      </c>
      <c r="L9" s="166">
        <v>77510</v>
      </c>
    </row>
    <row r="10" spans="1:12" ht="15.75" thickBot="1">
      <c r="A10" s="15" t="s">
        <v>35</v>
      </c>
      <c r="B10" s="168">
        <v>6902</v>
      </c>
      <c r="C10" s="167">
        <v>2583350</v>
      </c>
      <c r="E10" s="225"/>
      <c r="F10" s="221"/>
      <c r="G10" s="163" t="s">
        <v>10</v>
      </c>
      <c r="H10" s="53">
        <v>154</v>
      </c>
      <c r="I10" s="55">
        <v>170340</v>
      </c>
      <c r="J10" s="164" t="s">
        <v>37</v>
      </c>
      <c r="K10" s="165">
        <v>130</v>
      </c>
      <c r="L10" s="166">
        <v>108400</v>
      </c>
    </row>
    <row r="11" spans="1:12" ht="15.75" thickBot="1">
      <c r="A11" s="15" t="s">
        <v>36</v>
      </c>
      <c r="B11" s="168">
        <v>4174</v>
      </c>
      <c r="C11" s="167">
        <v>3011880</v>
      </c>
      <c r="E11" s="224" t="s">
        <v>68</v>
      </c>
      <c r="F11" s="221" t="s">
        <v>97</v>
      </c>
      <c r="G11" s="163" t="s">
        <v>4</v>
      </c>
      <c r="H11" s="165">
        <f>6888+396</f>
        <v>7284</v>
      </c>
      <c r="I11" s="55">
        <f>206360+3508740</f>
        <v>3715100</v>
      </c>
      <c r="J11" s="164" t="s">
        <v>35</v>
      </c>
      <c r="K11" s="165">
        <f>6253+387</f>
        <v>6640</v>
      </c>
      <c r="L11" s="166">
        <f>206500+1990880</f>
        <v>2197380</v>
      </c>
    </row>
    <row r="12" spans="1:12" ht="15.75" thickBot="1">
      <c r="A12" s="15" t="s">
        <v>37</v>
      </c>
      <c r="B12" s="168">
        <v>4617</v>
      </c>
      <c r="C12" s="167">
        <v>3516970</v>
      </c>
      <c r="E12" s="248"/>
      <c r="F12" s="221"/>
      <c r="G12" s="163" t="s">
        <v>9</v>
      </c>
      <c r="H12" s="165">
        <f>6541+377</f>
        <v>6918</v>
      </c>
      <c r="I12" s="55">
        <f>188990+3450010</f>
        <v>3639000</v>
      </c>
      <c r="J12" s="164" t="s">
        <v>36</v>
      </c>
      <c r="K12" s="165">
        <f>3548+368</f>
        <v>3916</v>
      </c>
      <c r="L12" s="166">
        <f>154930+2595400</f>
        <v>2750330</v>
      </c>
    </row>
    <row r="13" spans="1:12" ht="15.75" thickBot="1">
      <c r="E13" s="225"/>
      <c r="F13" s="221"/>
      <c r="G13" s="163" t="s">
        <v>10</v>
      </c>
      <c r="H13" s="165">
        <f>6444+353</f>
        <v>6797</v>
      </c>
      <c r="I13" s="55">
        <f>202012+3506850</f>
        <v>3708862</v>
      </c>
      <c r="J13" s="164" t="s">
        <v>37</v>
      </c>
      <c r="K13" s="165">
        <f>3900+388</f>
        <v>4288</v>
      </c>
      <c r="L13" s="166">
        <f>107730+3112710</f>
        <v>3220440</v>
      </c>
    </row>
    <row r="14" spans="1:12">
      <c r="J14"/>
      <c r="K14"/>
      <c r="L14"/>
    </row>
    <row r="15" spans="1:12">
      <c r="G15"/>
      <c r="H15"/>
      <c r="I15"/>
      <c r="J15"/>
      <c r="K15"/>
      <c r="L15"/>
    </row>
    <row r="16" spans="1:12">
      <c r="G16"/>
      <c r="H16"/>
      <c r="I16"/>
      <c r="J16"/>
      <c r="K16"/>
      <c r="L16"/>
    </row>
    <row r="17" spans="7:12">
      <c r="G17"/>
      <c r="H17"/>
      <c r="I17"/>
      <c r="J17"/>
      <c r="K17"/>
      <c r="L17"/>
    </row>
    <row r="18" spans="7:12">
      <c r="G18"/>
      <c r="H18"/>
      <c r="I18"/>
      <c r="J18"/>
      <c r="K18"/>
      <c r="L18"/>
    </row>
    <row r="19" spans="7:12">
      <c r="G19"/>
      <c r="H19"/>
      <c r="I19"/>
      <c r="J19"/>
      <c r="K19"/>
      <c r="L19"/>
    </row>
    <row r="20" spans="7:12">
      <c r="G20"/>
      <c r="H20"/>
      <c r="I20"/>
      <c r="J20"/>
      <c r="K20"/>
      <c r="L20"/>
    </row>
    <row r="21" spans="7:12">
      <c r="G21"/>
      <c r="H21"/>
      <c r="I21"/>
      <c r="J21"/>
      <c r="K21"/>
      <c r="L21"/>
    </row>
    <row r="22" spans="7:12">
      <c r="G22"/>
      <c r="H22"/>
      <c r="I22"/>
      <c r="J22"/>
      <c r="K22"/>
      <c r="L22"/>
    </row>
    <row r="23" spans="7:12">
      <c r="G23"/>
      <c r="H23"/>
      <c r="I23"/>
      <c r="J23"/>
      <c r="K23"/>
      <c r="L23"/>
    </row>
    <row r="24" spans="7:12">
      <c r="G24"/>
      <c r="H24"/>
      <c r="I24"/>
      <c r="J24"/>
      <c r="K24"/>
      <c r="L24"/>
    </row>
    <row r="25" spans="7:12">
      <c r="G25"/>
      <c r="H25"/>
      <c r="I25"/>
      <c r="J25"/>
      <c r="K25"/>
      <c r="L25"/>
    </row>
    <row r="26" spans="7:12">
      <c r="G26"/>
      <c r="H26"/>
      <c r="I26"/>
      <c r="J26"/>
      <c r="K26"/>
      <c r="L26"/>
    </row>
    <row r="27" spans="7:12">
      <c r="G27"/>
      <c r="H27"/>
      <c r="I27"/>
      <c r="J27"/>
      <c r="K27"/>
      <c r="L27"/>
    </row>
    <row r="28" spans="7:12">
      <c r="G28"/>
      <c r="H28"/>
      <c r="I28"/>
      <c r="J28"/>
      <c r="K28"/>
      <c r="L28"/>
    </row>
    <row r="29" spans="7:12">
      <c r="G29"/>
      <c r="H29"/>
      <c r="I29"/>
      <c r="J29"/>
      <c r="K29"/>
      <c r="L29"/>
    </row>
    <row r="30" spans="7:12">
      <c r="G30"/>
      <c r="H30"/>
      <c r="I30"/>
      <c r="J30"/>
      <c r="K30"/>
      <c r="L30"/>
    </row>
  </sheetData>
  <mergeCells count="12">
    <mergeCell ref="J3:L3"/>
    <mergeCell ref="E5:E7"/>
    <mergeCell ref="E8:E10"/>
    <mergeCell ref="E11:E13"/>
    <mergeCell ref="F5:F7"/>
    <mergeCell ref="F8:F10"/>
    <mergeCell ref="F11:F13"/>
    <mergeCell ref="A4:C4"/>
    <mergeCell ref="A5:A6"/>
    <mergeCell ref="B5:B6"/>
    <mergeCell ref="C5:C6"/>
    <mergeCell ref="F3:I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topLeftCell="A49" workbookViewId="0">
      <selection activeCell="D82" sqref="D82"/>
    </sheetView>
  </sheetViews>
  <sheetFormatPr baseColWidth="10" defaultRowHeight="15"/>
  <cols>
    <col min="1" max="1" width="23" style="7" customWidth="1"/>
    <col min="2" max="2" width="20.28515625" customWidth="1"/>
    <col min="3" max="3" width="18.85546875" customWidth="1"/>
    <col min="4" max="4" width="14.28515625" customWidth="1"/>
    <col min="5" max="5" width="14" style="23" customWidth="1"/>
    <col min="6" max="6" width="19.5703125" customWidth="1"/>
    <col min="7" max="7" width="15.140625" customWidth="1"/>
    <col min="8" max="8" width="16" customWidth="1"/>
    <col min="9" max="9" width="13" customWidth="1"/>
  </cols>
  <sheetData>
    <row r="1" spans="1:13">
      <c r="A1" s="255" t="s">
        <v>5</v>
      </c>
      <c r="B1" s="256"/>
      <c r="C1" s="256"/>
      <c r="D1" s="257"/>
    </row>
    <row r="2" spans="1:13">
      <c r="A2" s="8" t="s">
        <v>0</v>
      </c>
      <c r="B2" s="9" t="s">
        <v>1</v>
      </c>
      <c r="C2" s="9" t="s">
        <v>2</v>
      </c>
      <c r="D2" s="10" t="s">
        <v>3</v>
      </c>
    </row>
    <row r="3" spans="1:13" ht="15" customHeight="1">
      <c r="A3" s="5">
        <v>2731678</v>
      </c>
      <c r="B3" s="1" t="s">
        <v>4</v>
      </c>
      <c r="C3" s="3">
        <v>77965</v>
      </c>
      <c r="D3" s="4">
        <f>24562+19772</f>
        <v>44334</v>
      </c>
      <c r="F3" s="249" t="s">
        <v>88</v>
      </c>
      <c r="G3" s="249"/>
      <c r="H3" s="249"/>
      <c r="I3" s="249"/>
      <c r="J3" s="249"/>
      <c r="K3" s="249"/>
      <c r="L3" s="249"/>
      <c r="M3" s="249"/>
    </row>
    <row r="4" spans="1:13">
      <c r="A4" s="5" t="s">
        <v>6</v>
      </c>
      <c r="B4" s="1" t="s">
        <v>4</v>
      </c>
      <c r="C4" s="3">
        <v>151377</v>
      </c>
      <c r="D4" s="4">
        <v>0</v>
      </c>
      <c r="F4" s="249"/>
      <c r="G4" s="249"/>
      <c r="H4" s="249"/>
      <c r="I4" s="249"/>
      <c r="J4" s="249"/>
      <c r="K4" s="249"/>
      <c r="L4" s="249"/>
      <c r="M4" s="249"/>
    </row>
    <row r="5" spans="1:13">
      <c r="A5" s="5" t="s">
        <v>7</v>
      </c>
      <c r="B5" s="1" t="s">
        <v>4</v>
      </c>
      <c r="C5" s="3">
        <v>124435</v>
      </c>
      <c r="D5" s="4">
        <v>0</v>
      </c>
      <c r="F5" s="249"/>
      <c r="G5" s="249"/>
      <c r="H5" s="249"/>
      <c r="I5" s="249"/>
      <c r="J5" s="249"/>
      <c r="K5" s="249"/>
      <c r="L5" s="249"/>
      <c r="M5" s="249"/>
    </row>
    <row r="6" spans="1:13">
      <c r="A6" s="5" t="s">
        <v>8</v>
      </c>
      <c r="B6" s="1" t="s">
        <v>4</v>
      </c>
      <c r="C6" s="3">
        <f>211839.47+1630.02</f>
        <v>213469.49</v>
      </c>
      <c r="D6" s="4">
        <v>0</v>
      </c>
      <c r="F6" s="249"/>
      <c r="G6" s="249"/>
      <c r="H6" s="249"/>
      <c r="I6" s="249"/>
      <c r="J6" s="249"/>
      <c r="K6" s="249"/>
      <c r="L6" s="249"/>
      <c r="M6" s="249"/>
    </row>
    <row r="7" spans="1:13">
      <c r="A7" s="5">
        <v>2832055</v>
      </c>
      <c r="B7" s="1" t="s">
        <v>4</v>
      </c>
      <c r="C7" s="3">
        <v>59630</v>
      </c>
      <c r="D7" s="4">
        <v>0</v>
      </c>
      <c r="F7" s="249"/>
      <c r="G7" s="249"/>
      <c r="H7" s="249"/>
      <c r="I7" s="249"/>
      <c r="J7" s="249"/>
      <c r="K7" s="249"/>
      <c r="L7" s="249"/>
      <c r="M7" s="249"/>
    </row>
    <row r="8" spans="1:13">
      <c r="A8" s="5">
        <v>2831937</v>
      </c>
      <c r="B8" s="1" t="s">
        <v>4</v>
      </c>
      <c r="C8" s="3">
        <v>56840</v>
      </c>
      <c r="D8" s="4">
        <v>0</v>
      </c>
      <c r="F8" s="249"/>
      <c r="G8" s="249"/>
      <c r="H8" s="249"/>
      <c r="I8" s="249"/>
      <c r="J8" s="249"/>
      <c r="K8" s="249"/>
      <c r="L8" s="249"/>
      <c r="M8" s="249"/>
    </row>
    <row r="9" spans="1:13">
      <c r="A9" s="5">
        <v>2731678</v>
      </c>
      <c r="B9" s="1" t="s">
        <v>9</v>
      </c>
      <c r="C9" s="3">
        <v>35260</v>
      </c>
      <c r="D9" s="4">
        <v>0</v>
      </c>
      <c r="F9" s="249"/>
      <c r="G9" s="249"/>
      <c r="H9" s="249"/>
      <c r="I9" s="249"/>
      <c r="J9" s="249"/>
      <c r="K9" s="249"/>
      <c r="L9" s="249"/>
      <c r="M9" s="249"/>
    </row>
    <row r="10" spans="1:13">
      <c r="A10" s="5">
        <v>2721663</v>
      </c>
      <c r="B10" s="1" t="s">
        <v>9</v>
      </c>
      <c r="C10" s="3">
        <v>129460</v>
      </c>
      <c r="D10" s="4">
        <v>0</v>
      </c>
      <c r="F10" s="249"/>
      <c r="G10" s="249"/>
      <c r="H10" s="249"/>
      <c r="I10" s="249"/>
      <c r="J10" s="249"/>
      <c r="K10" s="249"/>
      <c r="L10" s="249"/>
      <c r="M10" s="249"/>
    </row>
    <row r="11" spans="1:13">
      <c r="A11" s="5" t="s">
        <v>6</v>
      </c>
      <c r="B11" s="1" t="s">
        <v>9</v>
      </c>
      <c r="C11" s="3">
        <v>172120</v>
      </c>
      <c r="D11" s="4">
        <v>0</v>
      </c>
      <c r="F11" s="249"/>
      <c r="G11" s="249"/>
      <c r="H11" s="249"/>
      <c r="I11" s="249"/>
      <c r="J11" s="249"/>
      <c r="K11" s="249"/>
      <c r="L11" s="249"/>
      <c r="M11" s="249"/>
    </row>
    <row r="12" spans="1:13">
      <c r="A12" s="5" t="s">
        <v>8</v>
      </c>
      <c r="B12" s="1" t="s">
        <v>9</v>
      </c>
      <c r="C12" s="3">
        <v>261460</v>
      </c>
      <c r="D12" s="4">
        <v>0</v>
      </c>
      <c r="F12" s="222" t="s">
        <v>70</v>
      </c>
      <c r="G12" s="222"/>
      <c r="H12" s="222"/>
      <c r="I12" s="222"/>
      <c r="J12" s="222"/>
      <c r="K12" s="222"/>
      <c r="L12" s="222"/>
      <c r="M12" s="222"/>
    </row>
    <row r="13" spans="1:13">
      <c r="A13" s="5" t="s">
        <v>7</v>
      </c>
      <c r="B13" s="1" t="s">
        <v>9</v>
      </c>
      <c r="C13" s="3">
        <v>128700</v>
      </c>
      <c r="D13" s="4">
        <v>0</v>
      </c>
      <c r="F13" s="47" t="s">
        <v>78</v>
      </c>
      <c r="G13" s="48">
        <v>26228076</v>
      </c>
    </row>
    <row r="14" spans="1:13">
      <c r="A14" s="5">
        <v>2721663</v>
      </c>
      <c r="B14" s="1" t="s">
        <v>10</v>
      </c>
      <c r="C14" s="3">
        <v>28100</v>
      </c>
      <c r="D14" s="4">
        <v>0</v>
      </c>
      <c r="F14" s="253" t="s">
        <v>121</v>
      </c>
      <c r="G14" s="253"/>
      <c r="H14" s="253"/>
      <c r="I14" s="253"/>
    </row>
    <row r="15" spans="1:13">
      <c r="A15" s="5" t="s">
        <v>8</v>
      </c>
      <c r="B15" s="1" t="s">
        <v>11</v>
      </c>
      <c r="C15" s="3">
        <v>8860</v>
      </c>
      <c r="D15" s="4">
        <v>0</v>
      </c>
      <c r="F15" s="52" t="s">
        <v>122</v>
      </c>
      <c r="G15" s="52" t="s">
        <v>123</v>
      </c>
      <c r="H15" s="52" t="s">
        <v>32</v>
      </c>
      <c r="I15" s="52" t="s">
        <v>78</v>
      </c>
    </row>
    <row r="16" spans="1:13">
      <c r="A16" s="5" t="s">
        <v>8</v>
      </c>
      <c r="B16" s="1" t="s">
        <v>12</v>
      </c>
      <c r="C16" s="3">
        <v>16080</v>
      </c>
      <c r="D16" s="4">
        <v>0</v>
      </c>
      <c r="F16" s="53">
        <v>1382</v>
      </c>
      <c r="G16" s="53" t="s">
        <v>31</v>
      </c>
      <c r="H16" s="53" t="s">
        <v>124</v>
      </c>
      <c r="I16" s="55">
        <v>6557019</v>
      </c>
    </row>
    <row r="17" spans="1:9">
      <c r="A17" s="11"/>
      <c r="B17" s="12"/>
      <c r="C17" s="13">
        <f>SUM(C3:C16)</f>
        <v>1463756.49</v>
      </c>
      <c r="D17" s="14">
        <f>SUM(D3:D16)</f>
        <v>44334</v>
      </c>
      <c r="F17" s="53">
        <v>650</v>
      </c>
      <c r="G17" s="53" t="s">
        <v>31</v>
      </c>
      <c r="H17" s="53" t="s">
        <v>125</v>
      </c>
      <c r="I17" s="55">
        <v>4371346</v>
      </c>
    </row>
    <row r="18" spans="1:9" ht="15.75" thickBot="1">
      <c r="A18" s="6" t="s">
        <v>14</v>
      </c>
      <c r="B18" s="2" t="s">
        <v>13</v>
      </c>
      <c r="C18" s="251">
        <v>14273640</v>
      </c>
      <c r="D18" s="252"/>
      <c r="F18" s="71" t="s">
        <v>149</v>
      </c>
      <c r="G18" s="71"/>
      <c r="H18" s="71" t="s">
        <v>38</v>
      </c>
      <c r="I18" s="72">
        <v>2185673</v>
      </c>
    </row>
    <row r="19" spans="1:9">
      <c r="A19" s="255" t="s">
        <v>29</v>
      </c>
      <c r="B19" s="256"/>
      <c r="C19" s="256"/>
      <c r="D19" s="257"/>
      <c r="F19" s="71" t="s">
        <v>149</v>
      </c>
      <c r="G19" s="71"/>
      <c r="H19" s="71" t="s">
        <v>39</v>
      </c>
      <c r="I19" s="72">
        <v>2185673</v>
      </c>
    </row>
    <row r="20" spans="1:9">
      <c r="A20" s="24" t="s">
        <v>32</v>
      </c>
      <c r="B20" s="24" t="s">
        <v>30</v>
      </c>
      <c r="C20" s="25" t="s">
        <v>33</v>
      </c>
      <c r="D20" s="22"/>
      <c r="F20" s="71" t="s">
        <v>149</v>
      </c>
      <c r="G20" s="71"/>
      <c r="H20" s="71" t="s">
        <v>40</v>
      </c>
      <c r="I20" s="72">
        <v>2185673</v>
      </c>
    </row>
    <row r="21" spans="1:9">
      <c r="A21" s="26" t="s">
        <v>34</v>
      </c>
      <c r="B21" s="27" t="s">
        <v>31</v>
      </c>
      <c r="C21" s="28">
        <v>99990</v>
      </c>
      <c r="D21" s="7"/>
      <c r="F21" s="71" t="s">
        <v>149</v>
      </c>
      <c r="G21" s="71"/>
      <c r="H21" s="71" t="s">
        <v>41</v>
      </c>
      <c r="I21" s="72">
        <v>2185673</v>
      </c>
    </row>
    <row r="22" spans="1:9">
      <c r="A22" s="250" t="s">
        <v>9</v>
      </c>
      <c r="B22" s="27" t="s">
        <v>31</v>
      </c>
      <c r="C22" s="28">
        <v>1312020</v>
      </c>
      <c r="D22" s="7"/>
      <c r="F22" s="71" t="s">
        <v>149</v>
      </c>
      <c r="G22" s="71"/>
      <c r="H22" s="71" t="s">
        <v>42</v>
      </c>
      <c r="I22" s="72">
        <v>2185673</v>
      </c>
    </row>
    <row r="23" spans="1:9">
      <c r="A23" s="250"/>
      <c r="B23" s="27" t="s">
        <v>31</v>
      </c>
      <c r="C23" s="28">
        <v>525130</v>
      </c>
      <c r="D23" s="7"/>
      <c r="F23" s="71" t="s">
        <v>149</v>
      </c>
      <c r="G23" s="71"/>
      <c r="H23" s="71" t="s">
        <v>43</v>
      </c>
      <c r="I23" s="72">
        <v>2185673</v>
      </c>
    </row>
    <row r="24" spans="1:9">
      <c r="A24" s="250" t="s">
        <v>10</v>
      </c>
      <c r="B24" s="27" t="s">
        <v>31</v>
      </c>
      <c r="C24" s="28">
        <v>100750</v>
      </c>
      <c r="D24" s="7"/>
    </row>
    <row r="25" spans="1:9">
      <c r="A25" s="250"/>
      <c r="B25" s="27" t="s">
        <v>31</v>
      </c>
      <c r="C25" s="28">
        <v>658430</v>
      </c>
      <c r="D25" s="7"/>
    </row>
    <row r="26" spans="1:9">
      <c r="A26" s="250"/>
      <c r="B26" s="27" t="s">
        <v>31</v>
      </c>
      <c r="C26" s="28">
        <v>304840</v>
      </c>
      <c r="D26" s="7"/>
    </row>
    <row r="27" spans="1:9">
      <c r="A27" s="250"/>
      <c r="B27" s="27" t="s">
        <v>31</v>
      </c>
      <c r="C27" s="28">
        <v>102740</v>
      </c>
      <c r="D27" s="7"/>
    </row>
    <row r="28" spans="1:9">
      <c r="A28" s="250" t="s">
        <v>35</v>
      </c>
      <c r="B28" s="27" t="s">
        <v>31</v>
      </c>
      <c r="C28" s="28">
        <v>640080</v>
      </c>
      <c r="D28" s="7"/>
    </row>
    <row r="29" spans="1:9">
      <c r="A29" s="250"/>
      <c r="B29" s="27" t="s">
        <v>31</v>
      </c>
      <c r="C29" s="28">
        <v>263170</v>
      </c>
      <c r="D29" s="7"/>
    </row>
    <row r="30" spans="1:9">
      <c r="A30" s="250"/>
      <c r="B30" s="27" t="s">
        <v>31</v>
      </c>
      <c r="C30" s="28">
        <v>104800</v>
      </c>
      <c r="D30" s="7"/>
    </row>
    <row r="31" spans="1:9">
      <c r="A31" s="250" t="s">
        <v>36</v>
      </c>
      <c r="B31" s="27" t="s">
        <v>31</v>
      </c>
      <c r="C31" s="28">
        <v>692410</v>
      </c>
      <c r="D31" s="7"/>
    </row>
    <row r="32" spans="1:9">
      <c r="A32" s="250"/>
      <c r="B32" s="27" t="s">
        <v>31</v>
      </c>
      <c r="C32" s="28">
        <v>202660</v>
      </c>
      <c r="D32" s="7"/>
    </row>
    <row r="33" spans="1:4">
      <c r="A33" s="250" t="s">
        <v>37</v>
      </c>
      <c r="B33" s="27" t="s">
        <v>31</v>
      </c>
      <c r="C33" s="28">
        <v>101530</v>
      </c>
      <c r="D33" s="7"/>
    </row>
    <row r="34" spans="1:4">
      <c r="A34" s="250"/>
      <c r="B34" s="27" t="s">
        <v>31</v>
      </c>
      <c r="C34" s="28">
        <v>124440</v>
      </c>
      <c r="D34" s="7"/>
    </row>
    <row r="35" spans="1:4">
      <c r="A35" s="250"/>
      <c r="B35" s="27" t="s">
        <v>31</v>
      </c>
      <c r="C35" s="28">
        <v>513340</v>
      </c>
      <c r="D35" s="7"/>
    </row>
    <row r="36" spans="1:4">
      <c r="A36" s="250"/>
      <c r="B36" s="27" t="s">
        <v>31</v>
      </c>
      <c r="C36" s="28">
        <v>376540</v>
      </c>
      <c r="D36" s="7"/>
    </row>
    <row r="37" spans="1:4">
      <c r="A37" s="250"/>
      <c r="B37" s="27" t="s">
        <v>31</v>
      </c>
      <c r="C37" s="28">
        <v>215990</v>
      </c>
      <c r="D37" s="7"/>
    </row>
    <row r="38" spans="1:4">
      <c r="A38" s="250"/>
      <c r="B38" s="27" t="s">
        <v>31</v>
      </c>
      <c r="C38" s="28">
        <v>100720</v>
      </c>
      <c r="D38" s="7"/>
    </row>
    <row r="39" spans="1:4">
      <c r="A39" s="250" t="s">
        <v>38</v>
      </c>
      <c r="B39" s="27" t="s">
        <v>31</v>
      </c>
      <c r="C39" s="28">
        <v>635570</v>
      </c>
      <c r="D39" s="7"/>
    </row>
    <row r="40" spans="1:4">
      <c r="A40" s="250"/>
      <c r="B40" s="27" t="s">
        <v>31</v>
      </c>
      <c r="C40" s="28">
        <v>346210</v>
      </c>
      <c r="D40" s="7"/>
    </row>
    <row r="41" spans="1:4">
      <c r="A41" s="250"/>
      <c r="B41" s="27" t="s">
        <v>31</v>
      </c>
      <c r="C41" s="28">
        <v>103160</v>
      </c>
      <c r="D41" s="7"/>
    </row>
    <row r="42" spans="1:4">
      <c r="A42" s="250" t="s">
        <v>39</v>
      </c>
      <c r="B42" s="27" t="s">
        <v>31</v>
      </c>
      <c r="C42" s="28">
        <v>757160</v>
      </c>
      <c r="D42" s="7"/>
    </row>
    <row r="43" spans="1:4">
      <c r="A43" s="250"/>
      <c r="B43" s="27" t="s">
        <v>31</v>
      </c>
      <c r="C43" s="28">
        <v>250140</v>
      </c>
      <c r="D43" s="7"/>
    </row>
    <row r="44" spans="1:4">
      <c r="A44" s="250" t="s">
        <v>40</v>
      </c>
      <c r="B44" s="27" t="s">
        <v>31</v>
      </c>
      <c r="C44" s="28">
        <v>1011220</v>
      </c>
      <c r="D44" s="7"/>
    </row>
    <row r="45" spans="1:4">
      <c r="A45" s="250"/>
      <c r="B45" s="27" t="s">
        <v>31</v>
      </c>
      <c r="C45" s="28">
        <v>154220</v>
      </c>
      <c r="D45" s="7"/>
    </row>
    <row r="46" spans="1:4">
      <c r="A46" s="250"/>
      <c r="B46" s="27" t="s">
        <v>31</v>
      </c>
      <c r="C46" s="28">
        <v>221350</v>
      </c>
      <c r="D46" s="7"/>
    </row>
    <row r="47" spans="1:4">
      <c r="A47" s="250" t="s">
        <v>41</v>
      </c>
      <c r="B47" s="27" t="s">
        <v>31</v>
      </c>
      <c r="C47" s="28">
        <v>856910</v>
      </c>
      <c r="D47" s="7"/>
    </row>
    <row r="48" spans="1:4">
      <c r="A48" s="250"/>
      <c r="B48" s="27" t="s">
        <v>31</v>
      </c>
      <c r="C48" s="28">
        <v>489640</v>
      </c>
      <c r="D48" s="7"/>
    </row>
    <row r="49" spans="1:4">
      <c r="A49" s="250" t="s">
        <v>42</v>
      </c>
      <c r="B49" s="27" t="s">
        <v>31</v>
      </c>
      <c r="C49" s="28">
        <v>124210</v>
      </c>
      <c r="D49" s="7"/>
    </row>
    <row r="50" spans="1:4">
      <c r="A50" s="250"/>
      <c r="B50" s="27" t="s">
        <v>31</v>
      </c>
      <c r="C50" s="28">
        <v>431720</v>
      </c>
      <c r="D50" s="7"/>
    </row>
    <row r="51" spans="1:4">
      <c r="A51" s="250"/>
      <c r="B51" s="27" t="s">
        <v>31</v>
      </c>
      <c r="C51" s="28">
        <v>261460</v>
      </c>
      <c r="D51" s="7"/>
    </row>
    <row r="52" spans="1:4">
      <c r="A52" s="250"/>
      <c r="B52" s="27" t="s">
        <v>31</v>
      </c>
      <c r="C52" s="28">
        <v>648150</v>
      </c>
      <c r="D52" s="7"/>
    </row>
    <row r="53" spans="1:4">
      <c r="A53" s="250" t="s">
        <v>43</v>
      </c>
      <c r="B53" s="27" t="s">
        <v>31</v>
      </c>
      <c r="C53" s="28">
        <v>208700</v>
      </c>
      <c r="D53" s="7"/>
    </row>
    <row r="54" spans="1:4">
      <c r="A54" s="250"/>
      <c r="B54" s="27" t="s">
        <v>31</v>
      </c>
      <c r="C54" s="28">
        <v>124430</v>
      </c>
      <c r="D54" s="7"/>
    </row>
    <row r="55" spans="1:4">
      <c r="A55" s="250"/>
      <c r="B55" s="27" t="s">
        <v>31</v>
      </c>
      <c r="C55" s="28">
        <v>803290</v>
      </c>
      <c r="D55" s="7"/>
    </row>
    <row r="56" spans="1:4">
      <c r="A56" s="250"/>
      <c r="B56" s="27" t="s">
        <v>31</v>
      </c>
      <c r="C56" s="28">
        <v>53300</v>
      </c>
      <c r="D56" s="7"/>
    </row>
    <row r="57" spans="1:4">
      <c r="C57" s="29">
        <f>SUM(C21:C56)</f>
        <v>13920420</v>
      </c>
    </row>
    <row r="60" spans="1:4">
      <c r="A60" s="254" t="s">
        <v>274</v>
      </c>
      <c r="B60" s="254"/>
      <c r="C60" s="254"/>
    </row>
    <row r="61" spans="1:4">
      <c r="A61" s="143" t="s">
        <v>32</v>
      </c>
      <c r="B61" s="143" t="s">
        <v>30</v>
      </c>
      <c r="C61" s="25" t="s">
        <v>33</v>
      </c>
    </row>
    <row r="62" spans="1:4">
      <c r="A62" s="144" t="s">
        <v>34</v>
      </c>
      <c r="B62" s="27" t="s">
        <v>31</v>
      </c>
      <c r="C62" s="28">
        <v>99990</v>
      </c>
    </row>
    <row r="63" spans="1:4">
      <c r="A63" s="250" t="s">
        <v>9</v>
      </c>
      <c r="B63" s="27" t="s">
        <v>31</v>
      </c>
      <c r="C63" s="28">
        <v>1312020</v>
      </c>
    </row>
    <row r="64" spans="1:4">
      <c r="A64" s="250"/>
      <c r="B64" s="27" t="s">
        <v>31</v>
      </c>
      <c r="C64" s="28">
        <v>525130</v>
      </c>
    </row>
    <row r="65" spans="1:3">
      <c r="A65" s="250" t="s">
        <v>10</v>
      </c>
      <c r="B65" s="27" t="s">
        <v>31</v>
      </c>
      <c r="C65" s="28">
        <v>100750</v>
      </c>
    </row>
    <row r="66" spans="1:3">
      <c r="A66" s="250"/>
      <c r="B66" s="27" t="s">
        <v>31</v>
      </c>
      <c r="C66" s="28">
        <v>658430</v>
      </c>
    </row>
    <row r="67" spans="1:3">
      <c r="A67" s="250"/>
      <c r="B67" s="27" t="s">
        <v>31</v>
      </c>
      <c r="C67" s="28">
        <v>304840</v>
      </c>
    </row>
    <row r="68" spans="1:3">
      <c r="A68" s="250"/>
      <c r="B68" s="27" t="s">
        <v>31</v>
      </c>
      <c r="C68" s="28">
        <v>102740</v>
      </c>
    </row>
    <row r="69" spans="1:3">
      <c r="A69" s="250" t="s">
        <v>35</v>
      </c>
      <c r="B69" s="27" t="s">
        <v>31</v>
      </c>
      <c r="C69" s="28">
        <v>640080</v>
      </c>
    </row>
    <row r="70" spans="1:3">
      <c r="A70" s="250"/>
      <c r="B70" s="27" t="s">
        <v>31</v>
      </c>
      <c r="C70" s="28">
        <v>263170</v>
      </c>
    </row>
    <row r="71" spans="1:3">
      <c r="A71" s="250"/>
      <c r="B71" s="27" t="s">
        <v>31</v>
      </c>
      <c r="C71" s="28">
        <v>104800</v>
      </c>
    </row>
    <row r="72" spans="1:3">
      <c r="A72" s="250" t="s">
        <v>36</v>
      </c>
      <c r="B72" s="27" t="s">
        <v>31</v>
      </c>
      <c r="C72" s="28">
        <v>692410</v>
      </c>
    </row>
    <row r="73" spans="1:3">
      <c r="A73" s="250"/>
      <c r="B73" s="27" t="s">
        <v>31</v>
      </c>
      <c r="C73" s="28">
        <v>202660</v>
      </c>
    </row>
    <row r="74" spans="1:3">
      <c r="A74" s="250" t="s">
        <v>37</v>
      </c>
      <c r="B74" s="27" t="s">
        <v>31</v>
      </c>
      <c r="C74" s="28">
        <v>101530</v>
      </c>
    </row>
    <row r="75" spans="1:3">
      <c r="A75" s="250"/>
      <c r="B75" s="27" t="s">
        <v>31</v>
      </c>
      <c r="C75" s="28">
        <v>124440</v>
      </c>
    </row>
    <row r="76" spans="1:3">
      <c r="A76" s="250"/>
      <c r="B76" s="27" t="s">
        <v>31</v>
      </c>
      <c r="C76" s="28">
        <v>513340</v>
      </c>
    </row>
    <row r="77" spans="1:3">
      <c r="A77" s="250"/>
      <c r="B77" s="27" t="s">
        <v>31</v>
      </c>
      <c r="C77" s="28">
        <v>376540</v>
      </c>
    </row>
    <row r="78" spans="1:3">
      <c r="A78" s="250"/>
      <c r="B78" s="27" t="s">
        <v>31</v>
      </c>
      <c r="C78" s="28">
        <v>215990</v>
      </c>
    </row>
    <row r="79" spans="1:3">
      <c r="A79" s="250"/>
      <c r="B79" s="27" t="s">
        <v>31</v>
      </c>
      <c r="C79" s="28">
        <v>100720</v>
      </c>
    </row>
    <row r="82" spans="1:3">
      <c r="A82" s="254" t="s">
        <v>292</v>
      </c>
      <c r="B82" s="254"/>
      <c r="C82" s="254"/>
    </row>
    <row r="83" spans="1:3">
      <c r="A83" s="148" t="s">
        <v>32</v>
      </c>
      <c r="B83" s="148" t="s">
        <v>30</v>
      </c>
      <c r="C83" s="25" t="s">
        <v>33</v>
      </c>
    </row>
    <row r="84" spans="1:3">
      <c r="A84" s="149" t="s">
        <v>34</v>
      </c>
      <c r="B84" s="27" t="s">
        <v>31</v>
      </c>
      <c r="C84" s="28">
        <v>1330539</v>
      </c>
    </row>
    <row r="85" spans="1:3">
      <c r="A85" s="149" t="s">
        <v>9</v>
      </c>
      <c r="B85" s="27" t="s">
        <v>31</v>
      </c>
      <c r="C85" s="28">
        <v>1330539</v>
      </c>
    </row>
    <row r="86" spans="1:3">
      <c r="A86" s="149" t="s">
        <v>10</v>
      </c>
      <c r="B86" s="27" t="s">
        <v>31</v>
      </c>
      <c r="C86" s="28">
        <v>1330539</v>
      </c>
    </row>
    <row r="87" spans="1:3">
      <c r="A87" s="149" t="s">
        <v>35</v>
      </c>
      <c r="B87" s="27" t="s">
        <v>31</v>
      </c>
      <c r="C87" s="28">
        <v>1330539</v>
      </c>
    </row>
    <row r="88" spans="1:3">
      <c r="A88" s="149" t="s">
        <v>36</v>
      </c>
      <c r="B88" s="27" t="s">
        <v>31</v>
      </c>
      <c r="C88" s="28">
        <v>1330539</v>
      </c>
    </row>
    <row r="89" spans="1:3">
      <c r="A89" s="149" t="s">
        <v>37</v>
      </c>
      <c r="B89" s="27" t="s">
        <v>31</v>
      </c>
      <c r="C89" s="28">
        <v>1330539</v>
      </c>
    </row>
  </sheetData>
  <mergeCells count="24">
    <mergeCell ref="A82:C82"/>
    <mergeCell ref="A1:D1"/>
    <mergeCell ref="A19:D19"/>
    <mergeCell ref="A22:A23"/>
    <mergeCell ref="A24:A27"/>
    <mergeCell ref="A28:A30"/>
    <mergeCell ref="A74:A79"/>
    <mergeCell ref="A49:A52"/>
    <mergeCell ref="A53:A56"/>
    <mergeCell ref="A44:A46"/>
    <mergeCell ref="A47:A48"/>
    <mergeCell ref="A60:C60"/>
    <mergeCell ref="A63:A64"/>
    <mergeCell ref="A65:A68"/>
    <mergeCell ref="A69:A71"/>
    <mergeCell ref="A72:A73"/>
    <mergeCell ref="F3:M11"/>
    <mergeCell ref="A31:A32"/>
    <mergeCell ref="A33:A38"/>
    <mergeCell ref="A39:A41"/>
    <mergeCell ref="A42:A43"/>
    <mergeCell ref="C18:D18"/>
    <mergeCell ref="F12:M12"/>
    <mergeCell ref="F14:I1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1"/>
  <sheetViews>
    <sheetView workbookViewId="0">
      <selection activeCell="A24" sqref="A24:C24"/>
    </sheetView>
  </sheetViews>
  <sheetFormatPr baseColWidth="10" defaultRowHeight="15"/>
  <cols>
    <col min="1" max="1" width="23" style="7" customWidth="1"/>
    <col min="2" max="2" width="25.28515625" customWidth="1"/>
    <col min="3" max="3" width="18.85546875" customWidth="1"/>
    <col min="4" max="4" width="14.28515625" customWidth="1"/>
    <col min="5" max="5" width="14" style="23" customWidth="1"/>
    <col min="6" max="6" width="19.5703125" customWidth="1"/>
    <col min="7" max="7" width="15.140625" customWidth="1"/>
    <col min="8" max="8" width="16" customWidth="1"/>
    <col min="9" max="9" width="13" customWidth="1"/>
  </cols>
  <sheetData>
    <row r="2" spans="1:13" s="23" customFormat="1" ht="30.75" customHeight="1" thickBot="1">
      <c r="A2" s="228" t="s">
        <v>293</v>
      </c>
      <c r="B2" s="229"/>
      <c r="C2" s="229"/>
      <c r="D2"/>
      <c r="F2"/>
      <c r="G2"/>
      <c r="H2"/>
      <c r="I2"/>
      <c r="J2"/>
      <c r="K2"/>
      <c r="L2"/>
      <c r="M2"/>
    </row>
    <row r="3" spans="1:13" s="23" customFormat="1">
      <c r="A3" s="148" t="s">
        <v>32</v>
      </c>
      <c r="B3" s="148" t="s">
        <v>30</v>
      </c>
      <c r="C3" s="25" t="s">
        <v>33</v>
      </c>
      <c r="D3"/>
      <c r="F3"/>
      <c r="G3"/>
      <c r="H3"/>
      <c r="I3"/>
      <c r="J3"/>
      <c r="K3"/>
      <c r="L3"/>
      <c r="M3"/>
    </row>
    <row r="4" spans="1:13" s="23" customFormat="1">
      <c r="A4" s="149" t="s">
        <v>34</v>
      </c>
      <c r="B4" s="27" t="s">
        <v>31</v>
      </c>
      <c r="C4" s="28">
        <v>99990</v>
      </c>
      <c r="D4"/>
      <c r="F4"/>
      <c r="G4"/>
      <c r="H4"/>
      <c r="I4"/>
      <c r="J4"/>
      <c r="K4"/>
      <c r="L4"/>
      <c r="M4"/>
    </row>
    <row r="5" spans="1:13" s="23" customFormat="1">
      <c r="A5" s="250" t="s">
        <v>9</v>
      </c>
      <c r="B5" s="27" t="s">
        <v>31</v>
      </c>
      <c r="C5" s="28">
        <v>1312020</v>
      </c>
      <c r="D5"/>
      <c r="F5"/>
      <c r="G5"/>
      <c r="H5"/>
      <c r="I5"/>
      <c r="J5"/>
      <c r="K5"/>
      <c r="L5"/>
      <c r="M5"/>
    </row>
    <row r="6" spans="1:13" s="23" customFormat="1">
      <c r="A6" s="250"/>
      <c r="B6" s="27" t="s">
        <v>31</v>
      </c>
      <c r="C6" s="28">
        <v>525130</v>
      </c>
      <c r="D6"/>
      <c r="F6"/>
      <c r="G6"/>
      <c r="H6"/>
      <c r="I6"/>
      <c r="J6"/>
      <c r="K6"/>
      <c r="L6"/>
      <c r="M6"/>
    </row>
    <row r="7" spans="1:13">
      <c r="A7" s="250" t="s">
        <v>10</v>
      </c>
      <c r="B7" s="27" t="s">
        <v>31</v>
      </c>
      <c r="C7" s="28">
        <v>100750</v>
      </c>
    </row>
    <row r="8" spans="1:13">
      <c r="A8" s="250"/>
      <c r="B8" s="27" t="s">
        <v>31</v>
      </c>
      <c r="C8" s="28">
        <v>658430</v>
      </c>
    </row>
    <row r="9" spans="1:13">
      <c r="A9" s="250"/>
      <c r="B9" s="27" t="s">
        <v>31</v>
      </c>
      <c r="C9" s="28">
        <v>304840</v>
      </c>
    </row>
    <row r="10" spans="1:13">
      <c r="A10" s="250"/>
      <c r="B10" s="27" t="s">
        <v>31</v>
      </c>
      <c r="C10" s="28">
        <v>102740</v>
      </c>
    </row>
    <row r="11" spans="1:13">
      <c r="A11" s="250" t="s">
        <v>35</v>
      </c>
      <c r="B11" s="27" t="s">
        <v>31</v>
      </c>
      <c r="C11" s="28">
        <v>640080</v>
      </c>
    </row>
    <row r="12" spans="1:13">
      <c r="A12" s="250"/>
      <c r="B12" s="27" t="s">
        <v>31</v>
      </c>
      <c r="C12" s="28">
        <v>263170</v>
      </c>
    </row>
    <row r="13" spans="1:13">
      <c r="A13" s="250"/>
      <c r="B13" s="27" t="s">
        <v>31</v>
      </c>
      <c r="C13" s="28">
        <v>104800</v>
      </c>
    </row>
    <row r="14" spans="1:13">
      <c r="A14" s="250" t="s">
        <v>36</v>
      </c>
      <c r="B14" s="27" t="s">
        <v>31</v>
      </c>
      <c r="C14" s="28">
        <v>692410</v>
      </c>
    </row>
    <row r="15" spans="1:13">
      <c r="A15" s="250"/>
      <c r="B15" s="27" t="s">
        <v>31</v>
      </c>
      <c r="C15" s="28">
        <v>202660</v>
      </c>
    </row>
    <row r="16" spans="1:13">
      <c r="A16" s="250" t="s">
        <v>37</v>
      </c>
      <c r="B16" s="27" t="s">
        <v>31</v>
      </c>
      <c r="C16" s="28">
        <v>101530</v>
      </c>
    </row>
    <row r="17" spans="1:3">
      <c r="A17" s="250"/>
      <c r="B17" s="27" t="s">
        <v>31</v>
      </c>
      <c r="C17" s="28">
        <v>124440</v>
      </c>
    </row>
    <row r="18" spans="1:3">
      <c r="A18" s="250"/>
      <c r="B18" s="27" t="s">
        <v>31</v>
      </c>
      <c r="C18" s="28">
        <v>513340</v>
      </c>
    </row>
    <row r="19" spans="1:3">
      <c r="A19" s="250"/>
      <c r="B19" s="27" t="s">
        <v>31</v>
      </c>
      <c r="C19" s="28">
        <v>376540</v>
      </c>
    </row>
    <row r="20" spans="1:3">
      <c r="A20" s="250"/>
      <c r="B20" s="27" t="s">
        <v>31</v>
      </c>
      <c r="C20" s="28">
        <v>215990</v>
      </c>
    </row>
    <row r="21" spans="1:3">
      <c r="A21" s="250"/>
      <c r="B21" s="27" t="s">
        <v>31</v>
      </c>
      <c r="C21" s="28">
        <v>100720</v>
      </c>
    </row>
    <row r="24" spans="1:3" ht="30.75" customHeight="1" thickBot="1">
      <c r="A24" s="228" t="s">
        <v>292</v>
      </c>
      <c r="B24" s="229"/>
      <c r="C24" s="229"/>
    </row>
    <row r="25" spans="1:3">
      <c r="A25" s="148" t="s">
        <v>32</v>
      </c>
      <c r="B25" s="148" t="s">
        <v>294</v>
      </c>
      <c r="C25" s="25" t="s">
        <v>33</v>
      </c>
    </row>
    <row r="26" spans="1:3">
      <c r="A26" s="149" t="s">
        <v>34</v>
      </c>
      <c r="B26" s="27" t="s">
        <v>295</v>
      </c>
      <c r="C26" s="28">
        <v>1330539</v>
      </c>
    </row>
    <row r="27" spans="1:3">
      <c r="A27" s="149" t="s">
        <v>9</v>
      </c>
      <c r="B27" s="27" t="s">
        <v>295</v>
      </c>
      <c r="C27" s="28">
        <v>1330539</v>
      </c>
    </row>
    <row r="28" spans="1:3">
      <c r="A28" s="149" t="s">
        <v>10</v>
      </c>
      <c r="B28" s="27" t="s">
        <v>295</v>
      </c>
      <c r="C28" s="28">
        <v>1330539</v>
      </c>
    </row>
    <row r="29" spans="1:3">
      <c r="A29" s="149" t="s">
        <v>35</v>
      </c>
      <c r="B29" s="27" t="s">
        <v>295</v>
      </c>
      <c r="C29" s="28">
        <v>1330539</v>
      </c>
    </row>
    <row r="30" spans="1:3">
      <c r="A30" s="149" t="s">
        <v>36</v>
      </c>
      <c r="B30" s="27" t="s">
        <v>295</v>
      </c>
      <c r="C30" s="28">
        <v>1330539</v>
      </c>
    </row>
    <row r="31" spans="1:3">
      <c r="A31" s="149" t="s">
        <v>37</v>
      </c>
      <c r="B31" s="27" t="s">
        <v>295</v>
      </c>
      <c r="C31" s="28">
        <v>1330539</v>
      </c>
    </row>
  </sheetData>
  <mergeCells count="7">
    <mergeCell ref="A24:C24"/>
    <mergeCell ref="A2:C2"/>
    <mergeCell ref="A5:A6"/>
    <mergeCell ref="A7:A10"/>
    <mergeCell ref="A11:A13"/>
    <mergeCell ref="A14:A15"/>
    <mergeCell ref="A16:A2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9"/>
  <sheetViews>
    <sheetView topLeftCell="A4" workbookViewId="0">
      <selection activeCell="G46" sqref="G46"/>
    </sheetView>
  </sheetViews>
  <sheetFormatPr baseColWidth="10" defaultRowHeight="15"/>
  <cols>
    <col min="2" max="2" width="15" bestFit="1" customWidth="1"/>
    <col min="3" max="3" width="15.42578125" customWidth="1"/>
    <col min="4" max="4" width="15" customWidth="1"/>
    <col min="5" max="5" width="15.5703125" customWidth="1"/>
    <col min="6" max="6" width="16.5703125" customWidth="1"/>
    <col min="7" max="7" width="15.7109375" style="34" bestFit="1" customWidth="1"/>
    <col min="8" max="8" width="14.5703125" bestFit="1" customWidth="1"/>
    <col min="9" max="9" width="13" bestFit="1" customWidth="1"/>
    <col min="10" max="10" width="15.5703125" bestFit="1" customWidth="1"/>
    <col min="11" max="11" width="16.42578125" customWidth="1"/>
  </cols>
  <sheetData>
    <row r="2" spans="1:10">
      <c r="A2" t="s">
        <v>71</v>
      </c>
    </row>
    <row r="3" spans="1:10">
      <c r="A3" t="s">
        <v>72</v>
      </c>
    </row>
    <row r="5" spans="1:10">
      <c r="A5" t="s">
        <v>73</v>
      </c>
      <c r="B5" t="s">
        <v>74</v>
      </c>
      <c r="C5" t="s">
        <v>75</v>
      </c>
      <c r="E5" t="s">
        <v>76</v>
      </c>
      <c r="F5" t="s">
        <v>77</v>
      </c>
      <c r="G5" s="34" t="s">
        <v>78</v>
      </c>
      <c r="H5" t="s">
        <v>79</v>
      </c>
    </row>
    <row r="6" spans="1:10">
      <c r="B6" s="35">
        <v>20175410016382</v>
      </c>
      <c r="C6" s="36">
        <v>42751</v>
      </c>
      <c r="D6" s="36">
        <v>42781</v>
      </c>
      <c r="E6" t="s">
        <v>80</v>
      </c>
      <c r="F6" t="s">
        <v>81</v>
      </c>
      <c r="G6" s="34">
        <v>2815553</v>
      </c>
      <c r="H6">
        <v>4682</v>
      </c>
      <c r="J6" s="37"/>
    </row>
    <row r="7" spans="1:10">
      <c r="B7" s="35">
        <v>20175410028282</v>
      </c>
      <c r="C7" s="36">
        <v>42782</v>
      </c>
      <c r="D7" s="36">
        <v>42809</v>
      </c>
      <c r="E7" t="s">
        <v>80</v>
      </c>
      <c r="F7" t="s">
        <v>81</v>
      </c>
      <c r="G7" s="34">
        <v>2600788</v>
      </c>
      <c r="H7">
        <v>4698</v>
      </c>
      <c r="J7" s="37"/>
    </row>
    <row r="8" spans="1:10">
      <c r="B8" s="35">
        <v>20175410041772</v>
      </c>
      <c r="C8" s="36">
        <v>42810</v>
      </c>
      <c r="D8" s="36">
        <v>42840</v>
      </c>
      <c r="E8" t="s">
        <v>80</v>
      </c>
      <c r="F8" t="s">
        <v>81</v>
      </c>
      <c r="G8" s="34">
        <v>2622963</v>
      </c>
      <c r="H8">
        <v>4712</v>
      </c>
    </row>
    <row r="9" spans="1:10">
      <c r="B9" s="35">
        <v>20175410054862</v>
      </c>
      <c r="C9" s="36">
        <v>42841</v>
      </c>
      <c r="D9" s="36">
        <v>42870</v>
      </c>
      <c r="E9" t="s">
        <v>80</v>
      </c>
      <c r="F9" t="s">
        <v>81</v>
      </c>
      <c r="G9" s="34">
        <v>1879200</v>
      </c>
      <c r="H9">
        <v>4739</v>
      </c>
    </row>
    <row r="10" spans="1:10">
      <c r="B10" s="35">
        <v>20175410088942</v>
      </c>
      <c r="C10" s="36">
        <v>42909</v>
      </c>
      <c r="D10" s="36">
        <v>42938</v>
      </c>
      <c r="E10" t="s">
        <v>80</v>
      </c>
      <c r="F10" t="s">
        <v>81</v>
      </c>
      <c r="G10" s="34">
        <v>506750</v>
      </c>
      <c r="H10">
        <v>4793</v>
      </c>
    </row>
    <row r="11" spans="1:10">
      <c r="B11" s="35">
        <v>20175410098022</v>
      </c>
      <c r="C11" s="36">
        <v>42901</v>
      </c>
      <c r="D11" s="36">
        <v>42930</v>
      </c>
      <c r="E11" t="s">
        <v>80</v>
      </c>
      <c r="F11" t="s">
        <v>81</v>
      </c>
      <c r="G11" s="34">
        <v>506750</v>
      </c>
      <c r="H11">
        <v>4811</v>
      </c>
    </row>
    <row r="12" spans="1:10">
      <c r="B12" s="35">
        <v>20175410101722</v>
      </c>
      <c r="C12" s="36">
        <v>42931</v>
      </c>
      <c r="D12" s="36">
        <v>42961</v>
      </c>
      <c r="E12" t="s">
        <v>80</v>
      </c>
      <c r="F12" t="s">
        <v>81</v>
      </c>
      <c r="G12" s="34">
        <v>508676</v>
      </c>
      <c r="H12">
        <v>4819</v>
      </c>
    </row>
    <row r="13" spans="1:10">
      <c r="B13" s="35">
        <v>20175410118392</v>
      </c>
      <c r="C13" s="36">
        <v>42962</v>
      </c>
      <c r="D13" s="36">
        <v>42992</v>
      </c>
      <c r="E13" t="s">
        <v>80</v>
      </c>
      <c r="F13" t="s">
        <v>81</v>
      </c>
      <c r="G13" s="34">
        <v>527662</v>
      </c>
      <c r="H13">
        <v>4839</v>
      </c>
    </row>
    <row r="14" spans="1:10">
      <c r="B14" s="35">
        <v>20175410129862</v>
      </c>
      <c r="C14" s="36">
        <v>42993</v>
      </c>
      <c r="D14" s="36">
        <v>43022</v>
      </c>
      <c r="E14" t="s">
        <v>80</v>
      </c>
      <c r="F14" t="s">
        <v>82</v>
      </c>
      <c r="G14" s="34">
        <v>506750</v>
      </c>
      <c r="H14">
        <v>4871</v>
      </c>
    </row>
    <row r="15" spans="1:10">
      <c r="B15" s="35">
        <v>20175410144172</v>
      </c>
      <c r="C15" s="36">
        <v>43024</v>
      </c>
      <c r="D15" s="36">
        <v>43054</v>
      </c>
      <c r="E15" t="s">
        <v>80</v>
      </c>
      <c r="F15" t="s">
        <v>82</v>
      </c>
      <c r="G15" s="34">
        <v>506750</v>
      </c>
      <c r="H15">
        <v>4888</v>
      </c>
    </row>
    <row r="16" spans="1:10">
      <c r="B16" s="35">
        <v>20185410002632</v>
      </c>
      <c r="C16" s="36">
        <v>43054</v>
      </c>
      <c r="D16" s="36">
        <v>43083</v>
      </c>
      <c r="E16" t="s">
        <v>80</v>
      </c>
      <c r="F16" t="s">
        <v>82</v>
      </c>
      <c r="G16" s="34">
        <v>506750</v>
      </c>
      <c r="H16">
        <v>4911</v>
      </c>
    </row>
    <row r="17" spans="2:8">
      <c r="B17" s="35">
        <v>20185410013692</v>
      </c>
      <c r="C17" s="36">
        <v>43084</v>
      </c>
      <c r="D17" s="36">
        <v>43114</v>
      </c>
      <c r="E17" t="s">
        <v>80</v>
      </c>
      <c r="F17" t="s">
        <v>82</v>
      </c>
      <c r="G17" s="34">
        <v>506750</v>
      </c>
      <c r="H17">
        <v>4934</v>
      </c>
    </row>
    <row r="18" spans="2:8">
      <c r="B18" s="35">
        <v>20185410027112</v>
      </c>
      <c r="C18" s="36">
        <v>43115</v>
      </c>
      <c r="D18" s="36">
        <v>43145</v>
      </c>
      <c r="E18" t="s">
        <v>80</v>
      </c>
      <c r="F18" t="s">
        <v>82</v>
      </c>
      <c r="G18" s="34">
        <v>1632005</v>
      </c>
      <c r="H18">
        <v>4949</v>
      </c>
    </row>
    <row r="19" spans="2:8">
      <c r="B19" s="35">
        <v>20185410040052</v>
      </c>
      <c r="C19" s="36">
        <v>43146</v>
      </c>
      <c r="D19" s="36">
        <v>43173</v>
      </c>
      <c r="E19" t="s">
        <v>80</v>
      </c>
      <c r="F19" t="s">
        <v>82</v>
      </c>
      <c r="G19" s="34">
        <v>1850051</v>
      </c>
      <c r="H19">
        <v>4967</v>
      </c>
    </row>
    <row r="20" spans="2:8">
      <c r="B20" s="35">
        <v>20185410056332</v>
      </c>
      <c r="C20" s="36">
        <v>43174</v>
      </c>
      <c r="D20" s="36">
        <v>43204</v>
      </c>
      <c r="E20" t="s">
        <v>80</v>
      </c>
      <c r="F20" t="s">
        <v>82</v>
      </c>
      <c r="G20" s="34">
        <v>1729915</v>
      </c>
      <c r="H20">
        <v>4995</v>
      </c>
    </row>
    <row r="21" spans="2:8">
      <c r="B21" s="35">
        <v>20185410070692</v>
      </c>
      <c r="C21" s="36">
        <v>43205</v>
      </c>
      <c r="D21" s="36">
        <v>43234</v>
      </c>
      <c r="E21" t="s">
        <v>80</v>
      </c>
      <c r="F21" t="s">
        <v>82</v>
      </c>
      <c r="G21" s="34">
        <v>917914</v>
      </c>
      <c r="H21">
        <v>5012</v>
      </c>
    </row>
    <row r="22" spans="2:8">
      <c r="B22" s="35">
        <v>20186310086512</v>
      </c>
      <c r="C22" s="36">
        <v>43252</v>
      </c>
      <c r="D22" s="36">
        <v>43265</v>
      </c>
      <c r="E22" t="s">
        <v>80</v>
      </c>
      <c r="F22" t="s">
        <v>82</v>
      </c>
      <c r="G22" s="34">
        <v>1850000</v>
      </c>
      <c r="H22">
        <v>5059</v>
      </c>
    </row>
    <row r="23" spans="2:8">
      <c r="B23" s="35">
        <v>20185410123002</v>
      </c>
      <c r="C23" s="36">
        <v>43306</v>
      </c>
      <c r="D23" s="36">
        <v>43343</v>
      </c>
      <c r="E23" t="s">
        <v>80</v>
      </c>
      <c r="F23" t="s">
        <v>83</v>
      </c>
      <c r="G23" s="34">
        <v>2380171</v>
      </c>
      <c r="H23">
        <v>5079</v>
      </c>
    </row>
    <row r="24" spans="2:8">
      <c r="B24" s="35">
        <v>20185410133502</v>
      </c>
      <c r="C24" s="36">
        <v>43344</v>
      </c>
      <c r="D24" s="36">
        <v>43373</v>
      </c>
      <c r="E24" t="s">
        <v>80</v>
      </c>
      <c r="F24" t="s">
        <v>83</v>
      </c>
      <c r="G24" s="34">
        <v>1511894</v>
      </c>
      <c r="H24">
        <v>5091</v>
      </c>
    </row>
    <row r="25" spans="2:8">
      <c r="B25" s="35">
        <v>20185433333502</v>
      </c>
      <c r="C25" s="36">
        <v>43374</v>
      </c>
      <c r="D25" s="36">
        <v>43404</v>
      </c>
      <c r="E25" t="s">
        <v>80</v>
      </c>
      <c r="F25" t="s">
        <v>83</v>
      </c>
      <c r="G25" s="34">
        <v>1623524</v>
      </c>
      <c r="H25">
        <v>5102</v>
      </c>
    </row>
    <row r="26" spans="2:8">
      <c r="B26" s="35">
        <v>20186110133502</v>
      </c>
      <c r="C26" s="36">
        <v>43405</v>
      </c>
      <c r="D26" s="36">
        <v>43434</v>
      </c>
      <c r="E26" t="s">
        <v>80</v>
      </c>
      <c r="F26" t="s">
        <v>83</v>
      </c>
      <c r="G26" s="34">
        <v>1536289</v>
      </c>
      <c r="H26">
        <v>5123</v>
      </c>
    </row>
    <row r="27" spans="2:8">
      <c r="B27" s="35">
        <v>20185410023502</v>
      </c>
      <c r="C27" s="36">
        <v>43435</v>
      </c>
      <c r="D27" s="36">
        <v>43465</v>
      </c>
      <c r="E27" t="s">
        <v>80</v>
      </c>
      <c r="F27" t="s">
        <v>83</v>
      </c>
      <c r="G27" s="34">
        <v>1589233</v>
      </c>
      <c r="H27">
        <v>5142</v>
      </c>
    </row>
    <row r="28" spans="2:8">
      <c r="B28" s="35"/>
      <c r="C28" s="36"/>
      <c r="D28" s="36"/>
    </row>
    <row r="29" spans="2:8">
      <c r="B29" s="35"/>
      <c r="C29" s="38"/>
    </row>
    <row r="30" spans="2:8">
      <c r="B30" s="35"/>
      <c r="C30" t="s">
        <v>84</v>
      </c>
      <c r="G30" s="34">
        <f>SUM(G6:G15)</f>
        <v>12981842</v>
      </c>
    </row>
    <row r="31" spans="2:8">
      <c r="B31" s="35"/>
      <c r="C31" t="s">
        <v>85</v>
      </c>
      <c r="G31" s="34">
        <f>SUM(G18:G27)</f>
        <v>16620996</v>
      </c>
    </row>
    <row r="32" spans="2:8">
      <c r="B32" s="35"/>
    </row>
    <row r="33" spans="2:11">
      <c r="B33" s="35"/>
      <c r="C33" t="s">
        <v>86</v>
      </c>
      <c r="G33" s="34">
        <f>+G31+G30</f>
        <v>29602838</v>
      </c>
    </row>
    <row r="34" spans="2:11">
      <c r="B34" s="35"/>
    </row>
    <row r="35" spans="2:11">
      <c r="B35" s="35"/>
      <c r="E35" s="24" t="s">
        <v>90</v>
      </c>
      <c r="F35" s="24" t="s">
        <v>34</v>
      </c>
      <c r="G35" s="24" t="s">
        <v>9</v>
      </c>
      <c r="H35" s="24" t="s">
        <v>10</v>
      </c>
      <c r="I35" s="66" t="s">
        <v>139</v>
      </c>
      <c r="J35" s="66" t="s">
        <v>36</v>
      </c>
      <c r="K35" s="66" t="s">
        <v>37</v>
      </c>
    </row>
    <row r="36" spans="2:11" ht="31.5">
      <c r="B36" s="35"/>
      <c r="C36" s="43"/>
      <c r="D36" s="43"/>
      <c r="E36" s="24" t="s">
        <v>89</v>
      </c>
      <c r="F36" s="27">
        <v>25286</v>
      </c>
      <c r="G36" s="27">
        <v>24944</v>
      </c>
      <c r="H36" s="27">
        <v>27079</v>
      </c>
      <c r="I36" s="67">
        <v>24027</v>
      </c>
      <c r="J36" s="67">
        <v>26211</v>
      </c>
      <c r="K36" s="170" t="s">
        <v>140</v>
      </c>
    </row>
    <row r="37" spans="2:11">
      <c r="B37" s="35"/>
      <c r="C37" s="43"/>
      <c r="D37" s="43"/>
      <c r="F37" s="80" t="s">
        <v>166</v>
      </c>
      <c r="G37" s="80" t="s">
        <v>41</v>
      </c>
      <c r="H37" s="80" t="s">
        <v>42</v>
      </c>
      <c r="I37" s="80" t="s">
        <v>43</v>
      </c>
    </row>
    <row r="38" spans="2:11">
      <c r="C38" s="43"/>
      <c r="D38" s="43"/>
      <c r="F38" s="27">
        <v>23556</v>
      </c>
      <c r="G38" s="27">
        <v>18322</v>
      </c>
      <c r="H38" s="27">
        <v>22175</v>
      </c>
      <c r="I38" s="67">
        <v>20119</v>
      </c>
    </row>
    <row r="39" spans="2:11">
      <c r="F39" s="105">
        <v>1068736</v>
      </c>
      <c r="G39" s="106">
        <v>846815</v>
      </c>
      <c r="H39" s="105">
        <v>1006080</v>
      </c>
      <c r="I39" s="105">
        <v>912799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RELACION ENTREGA PAPEL ALSC</vt:lpstr>
      <vt:lpstr>CONSUMO PAPEL 2020</vt:lpstr>
      <vt:lpstr>HISTORICO AGUA</vt:lpstr>
      <vt:lpstr>CONSUMO AGUA 2020-I</vt:lpstr>
      <vt:lpstr>HISTORICO ENERGIA</vt:lpstr>
      <vt:lpstr>CONSUMO ENERGIA 2020-I</vt:lpstr>
      <vt:lpstr>HISTORICO INTERNET-TELEFONIA</vt:lpstr>
      <vt:lpstr>INTERNET-TELEFONIA 2020-I</vt:lpstr>
      <vt:lpstr>FOTOCOPIADO</vt:lpstr>
      <vt:lpstr>COMSUMO COMBUSTIBLE ALSC 2020-I</vt:lpstr>
      <vt:lpstr>HISTORICO MANTENIMIENTO</vt:lpstr>
      <vt:lpstr>MANTENIMIENTO 2020-I</vt:lpstr>
      <vt:lpstr>COMUNICACIONES IiI-2019</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Piga Scristobal</dc:creator>
  <cp:lastModifiedBy>arevalo_q@hotmail.com</cp:lastModifiedBy>
  <dcterms:created xsi:type="dcterms:W3CDTF">2018-07-26T13:48:42Z</dcterms:created>
  <dcterms:modified xsi:type="dcterms:W3CDTF">2020-07-29T22:15:47Z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NXPowerLiteLastOptimized" pid="2">
    <vt:lpwstr>278415</vt:lpwstr>
  </property>
  <property fmtid="{D5CDD505-2E9C-101B-9397-08002B2CF9AE}" name="NXPowerLiteSettings" pid="3">
    <vt:lpwstr>C7000400038000</vt:lpwstr>
  </property>
  <property fmtid="{D5CDD505-2E9C-101B-9397-08002B2CF9AE}" name="NXPowerLiteVersion" pid="4">
    <vt:lpwstr>S9.0.1</vt:lpwstr>
  </property>
</Properties>
</file>