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morales\Desktop\"/>
    </mc:Choice>
  </mc:AlternateContent>
  <bookViews>
    <workbookView xWindow="0" yWindow="0" windowWidth="28800" windowHeight="11730" activeTab="1"/>
  </bookViews>
  <sheets>
    <sheet name="MANTENIMIENTO VH 2020" sheetId="38" r:id="rId1"/>
    <sheet name="Relación de entrega de papel SC" sheetId="39" r:id="rId2"/>
    <sheet name="Consolidado de papel 2020" sheetId="40" r:id="rId3"/>
    <sheet name="COMBUSTIBLE VH ALSC 2020" sheetId="31" r:id="rId4"/>
    <sheet name="Agua" sheetId="27" r:id="rId5"/>
    <sheet name="COMUNICACIONES 2020" sheetId="20" r:id="rId6"/>
    <sheet name="Fotocopiado" sheetId="19" r:id="rId7"/>
    <sheet name="Energía " sheetId="6" r:id="rId8"/>
    <sheet name="Telefonía" sheetId="2" r:id="rId9"/>
  </sheets>
  <definedNames>
    <definedName name="_xlnm._FilterDatabase" localSheetId="8" hidden="1">Telefonía!$A$20:$P$20</definedName>
    <definedName name="valuevx">42.314159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48" i="40" l="1"/>
  <c r="BE48" i="40"/>
  <c r="AZ48" i="40"/>
  <c r="AU48" i="40"/>
  <c r="AP48" i="40"/>
  <c r="AF48" i="40"/>
  <c r="AK47" i="40"/>
  <c r="BK47" i="40" s="1"/>
  <c r="AA47" i="40"/>
  <c r="V47" i="40"/>
  <c r="Q47" i="40"/>
  <c r="L47" i="40"/>
  <c r="G47" i="40"/>
  <c r="AK46" i="40"/>
  <c r="BK46" i="40" s="1"/>
  <c r="AA46" i="40"/>
  <c r="V46" i="40"/>
  <c r="Q46" i="40"/>
  <c r="L46" i="40"/>
  <c r="G46" i="40"/>
  <c r="AK45" i="40"/>
  <c r="BK45" i="40" s="1"/>
  <c r="AA45" i="40"/>
  <c r="V45" i="40"/>
  <c r="Q45" i="40"/>
  <c r="N45" i="40"/>
  <c r="L45" i="40"/>
  <c r="G45" i="40"/>
  <c r="D45" i="40"/>
  <c r="AK44" i="40"/>
  <c r="AA44" i="40"/>
  <c r="V44" i="40"/>
  <c r="N44" i="40"/>
  <c r="Q44" i="40" s="1"/>
  <c r="L44" i="40"/>
  <c r="D44" i="40"/>
  <c r="G44" i="40" s="1"/>
  <c r="AK43" i="40"/>
  <c r="BK43" i="40" s="1"/>
  <c r="AA43" i="40"/>
  <c r="V43" i="40"/>
  <c r="Q43" i="40"/>
  <c r="L43" i="40"/>
  <c r="G43" i="40"/>
  <c r="BK42" i="40"/>
  <c r="AK42" i="40"/>
  <c r="AA42" i="40"/>
  <c r="V42" i="40"/>
  <c r="Q42" i="40"/>
  <c r="L42" i="40"/>
  <c r="G42" i="40"/>
  <c r="AK41" i="40"/>
  <c r="BK41" i="40" s="1"/>
  <c r="AA41" i="40"/>
  <c r="V41" i="40"/>
  <c r="Q41" i="40"/>
  <c r="L41" i="40"/>
  <c r="G41" i="40"/>
  <c r="AK40" i="40"/>
  <c r="BK40" i="40" s="1"/>
  <c r="AA40" i="40"/>
  <c r="V40" i="40"/>
  <c r="Q40" i="40"/>
  <c r="L40" i="40"/>
  <c r="G40" i="40"/>
  <c r="AK39" i="40"/>
  <c r="BK39" i="40" s="1"/>
  <c r="AA39" i="40"/>
  <c r="V39" i="40"/>
  <c r="Q39" i="40"/>
  <c r="L39" i="40"/>
  <c r="G39" i="40"/>
  <c r="AK38" i="40"/>
  <c r="BK38" i="40" s="1"/>
  <c r="BL38" i="40" s="1"/>
  <c r="AA38" i="40"/>
  <c r="V38" i="40"/>
  <c r="Q38" i="40"/>
  <c r="L38" i="40"/>
  <c r="G38" i="40"/>
  <c r="AK37" i="40"/>
  <c r="BK37" i="40" s="1"/>
  <c r="AA37" i="40"/>
  <c r="V37" i="40"/>
  <c r="Q37" i="40"/>
  <c r="L37" i="40"/>
  <c r="G37" i="40"/>
  <c r="AK36" i="40"/>
  <c r="AA36" i="40"/>
  <c r="BK36" i="40" s="1"/>
  <c r="V36" i="40"/>
  <c r="Q36" i="40"/>
  <c r="L36" i="40"/>
  <c r="G36" i="40"/>
  <c r="AK35" i="40"/>
  <c r="BK35" i="40" s="1"/>
  <c r="AA35" i="40"/>
  <c r="V35" i="40"/>
  <c r="Q35" i="40"/>
  <c r="L35" i="40"/>
  <c r="G35" i="40"/>
  <c r="AK34" i="40"/>
  <c r="BK34" i="40" s="1"/>
  <c r="AA34" i="40"/>
  <c r="V34" i="40"/>
  <c r="Q34" i="40"/>
  <c r="L34" i="40"/>
  <c r="G34" i="40"/>
  <c r="AK33" i="40"/>
  <c r="BK33" i="40" s="1"/>
  <c r="AA33" i="40"/>
  <c r="V33" i="40"/>
  <c r="Q33" i="40"/>
  <c r="L33" i="40"/>
  <c r="G33" i="40"/>
  <c r="BK32" i="40"/>
  <c r="AK32" i="40"/>
  <c r="AA32" i="40"/>
  <c r="V32" i="40"/>
  <c r="Q32" i="40"/>
  <c r="L32" i="40"/>
  <c r="G32" i="40"/>
  <c r="AK31" i="40"/>
  <c r="BK31" i="40" s="1"/>
  <c r="AA31" i="40"/>
  <c r="V31" i="40"/>
  <c r="Q31" i="40"/>
  <c r="L31" i="40"/>
  <c r="G31" i="40"/>
  <c r="AK30" i="40"/>
  <c r="BK30" i="40" s="1"/>
  <c r="AA30" i="40"/>
  <c r="V30" i="40"/>
  <c r="Q30" i="40"/>
  <c r="L30" i="40"/>
  <c r="G30" i="40"/>
  <c r="AK29" i="40"/>
  <c r="BK29" i="40" s="1"/>
  <c r="AA29" i="40"/>
  <c r="V29" i="40"/>
  <c r="Q29" i="40"/>
  <c r="L29" i="40"/>
  <c r="G29" i="40"/>
  <c r="AK28" i="40"/>
  <c r="AA28" i="40"/>
  <c r="BK28" i="40" s="1"/>
  <c r="V28" i="40"/>
  <c r="Q28" i="40"/>
  <c r="L28" i="40"/>
  <c r="G28" i="40"/>
  <c r="AK27" i="40"/>
  <c r="BK27" i="40" s="1"/>
  <c r="AA27" i="40"/>
  <c r="V27" i="40"/>
  <c r="Q27" i="40"/>
  <c r="L27" i="40"/>
  <c r="G27" i="40"/>
  <c r="AK26" i="40"/>
  <c r="BK26" i="40" s="1"/>
  <c r="AA26" i="40"/>
  <c r="V26" i="40"/>
  <c r="Q26" i="40"/>
  <c r="K26" i="40"/>
  <c r="L26" i="40" s="1"/>
  <c r="G26" i="40"/>
  <c r="AK25" i="40"/>
  <c r="BK25" i="40" s="1"/>
  <c r="AA25" i="40"/>
  <c r="V25" i="40"/>
  <c r="Q25" i="40"/>
  <c r="L25" i="40"/>
  <c r="G25" i="40"/>
  <c r="AK24" i="40"/>
  <c r="BK24" i="40" s="1"/>
  <c r="AA24" i="40"/>
  <c r="V24" i="40"/>
  <c r="Q24" i="40"/>
  <c r="L24" i="40"/>
  <c r="G24" i="40"/>
  <c r="BK23" i="40"/>
  <c r="AK23" i="40"/>
  <c r="AA23" i="40"/>
  <c r="V23" i="40"/>
  <c r="Q23" i="40"/>
  <c r="L23" i="40"/>
  <c r="G23" i="40"/>
  <c r="BK22" i="40"/>
  <c r="AK22" i="40"/>
  <c r="AA22" i="40"/>
  <c r="V22" i="40"/>
  <c r="Q22" i="40"/>
  <c r="L22" i="40"/>
  <c r="G22" i="40"/>
  <c r="AK21" i="40"/>
  <c r="AA21" i="40"/>
  <c r="V21" i="40"/>
  <c r="Q21" i="40"/>
  <c r="L21" i="40"/>
  <c r="G21" i="40"/>
  <c r="AK20" i="40"/>
  <c r="BK20" i="40" s="1"/>
  <c r="AA20" i="40"/>
  <c r="V20" i="40"/>
  <c r="Q20" i="40"/>
  <c r="L20" i="40"/>
  <c r="G20" i="40"/>
  <c r="AK19" i="40"/>
  <c r="BK19" i="40" s="1"/>
  <c r="AA19" i="40"/>
  <c r="V19" i="40"/>
  <c r="Q19" i="40"/>
  <c r="L19" i="40"/>
  <c r="G19" i="40"/>
  <c r="AK18" i="40"/>
  <c r="AA18" i="40"/>
  <c r="BK18" i="40" s="1"/>
  <c r="V18" i="40"/>
  <c r="Q18" i="40"/>
  <c r="L18" i="40"/>
  <c r="G18" i="40"/>
  <c r="AK17" i="40"/>
  <c r="AA17" i="40"/>
  <c r="BK17" i="40" s="1"/>
  <c r="V17" i="40"/>
  <c r="Q17" i="40"/>
  <c r="L17" i="40"/>
  <c r="G17" i="40"/>
  <c r="AK16" i="40"/>
  <c r="BK16" i="40" s="1"/>
  <c r="AA16" i="40"/>
  <c r="V16" i="40"/>
  <c r="Q16" i="40"/>
  <c r="L16" i="40"/>
  <c r="G16" i="40"/>
  <c r="AK15" i="40"/>
  <c r="BK15" i="40" s="1"/>
  <c r="AA15" i="40"/>
  <c r="V15" i="40"/>
  <c r="Q15" i="40"/>
  <c r="L15" i="40"/>
  <c r="G15" i="40"/>
  <c r="AK14" i="40"/>
  <c r="BK14" i="40" s="1"/>
  <c r="AA14" i="40"/>
  <c r="V14" i="40"/>
  <c r="Q14" i="40"/>
  <c r="L14" i="40"/>
  <c r="G14" i="40"/>
  <c r="AK13" i="40"/>
  <c r="BK13" i="40" s="1"/>
  <c r="BL13" i="40" s="1"/>
  <c r="AA13" i="40"/>
  <c r="V13" i="40"/>
  <c r="Q13" i="40"/>
  <c r="L13" i="40"/>
  <c r="G13" i="40"/>
  <c r="AK12" i="40"/>
  <c r="BK12" i="40" s="1"/>
  <c r="AA12" i="40"/>
  <c r="V12" i="40"/>
  <c r="Q12" i="40"/>
  <c r="L12" i="40"/>
  <c r="G12" i="40"/>
  <c r="AK11" i="40"/>
  <c r="BK11" i="40" s="1"/>
  <c r="AA11" i="40"/>
  <c r="AA48" i="40" s="1"/>
  <c r="V11" i="40"/>
  <c r="V48" i="40" s="1"/>
  <c r="Q11" i="40"/>
  <c r="Q48" i="40" s="1"/>
  <c r="L11" i="40"/>
  <c r="L48" i="40" s="1"/>
  <c r="G11" i="40"/>
  <c r="BK7" i="40"/>
  <c r="I15" i="2"/>
  <c r="BL42" i="40" l="1"/>
  <c r="BK44" i="40"/>
  <c r="BL44" i="40" s="1"/>
  <c r="BL15" i="40"/>
  <c r="BL46" i="40"/>
  <c r="BL11" i="40"/>
  <c r="BL19" i="40"/>
  <c r="BL40" i="40"/>
  <c r="G48" i="40"/>
  <c r="BL17" i="40"/>
  <c r="BL22" i="40"/>
  <c r="AK48" i="40"/>
  <c r="BL48" i="40" l="1"/>
  <c r="F93" i="38" l="1"/>
  <c r="F76" i="38"/>
  <c r="F68" i="38"/>
  <c r="F57" i="38"/>
  <c r="F47" i="38"/>
  <c r="F41" i="38"/>
  <c r="F28" i="38"/>
  <c r="F12" i="38"/>
  <c r="L32" i="27" l="1"/>
  <c r="K32" i="27"/>
  <c r="L33" i="27"/>
  <c r="K33" i="27"/>
  <c r="N47" i="6"/>
  <c r="N46" i="6"/>
  <c r="N45" i="6"/>
  <c r="R42" i="6"/>
  <c r="Q42" i="6"/>
  <c r="R40" i="6"/>
  <c r="Q40" i="6"/>
  <c r="R41" i="6"/>
  <c r="Q41" i="6"/>
  <c r="I32" i="27" l="1"/>
  <c r="H32" i="27"/>
  <c r="O40" i="6"/>
  <c r="N40" i="6"/>
  <c r="O41" i="6"/>
  <c r="N41" i="6"/>
  <c r="O42" i="6"/>
  <c r="N42" i="6"/>
  <c r="S33" i="6" l="1"/>
  <c r="F20" i="27" l="1"/>
  <c r="E20" i="27"/>
  <c r="E29" i="6"/>
  <c r="E24" i="6"/>
  <c r="D24" i="6"/>
  <c r="E23" i="6"/>
  <c r="D23" i="6"/>
  <c r="E18" i="27" l="1"/>
  <c r="E19" i="27"/>
  <c r="E17" i="27"/>
  <c r="N24" i="27"/>
  <c r="N23" i="27"/>
  <c r="N22" i="27"/>
  <c r="M24" i="27"/>
  <c r="M23" i="27"/>
  <c r="M22" i="27"/>
  <c r="E18" i="6"/>
  <c r="E19" i="6"/>
  <c r="E20" i="6"/>
  <c r="E21" i="6"/>
  <c r="E22" i="6"/>
  <c r="E17" i="6"/>
  <c r="U29" i="6"/>
  <c r="U30" i="6"/>
  <c r="U28" i="6"/>
  <c r="T29" i="6"/>
  <c r="T30" i="6"/>
  <c r="T28" i="6"/>
  <c r="U26" i="6"/>
  <c r="U27" i="6"/>
  <c r="U25" i="6"/>
  <c r="T26" i="6"/>
  <c r="T27" i="6"/>
  <c r="T25" i="6"/>
  <c r="Q18" i="6" l="1"/>
  <c r="Q17" i="6"/>
  <c r="N19" i="6"/>
  <c r="N18" i="6"/>
  <c r="N17" i="6"/>
  <c r="Q10" i="6"/>
  <c r="Q9" i="6"/>
  <c r="Q8" i="6"/>
  <c r="N10" i="6"/>
  <c r="N9" i="6"/>
  <c r="N8" i="6"/>
  <c r="P9" i="27"/>
  <c r="P8" i="27"/>
  <c r="P6" i="27"/>
  <c r="P7" i="27"/>
  <c r="P5" i="27"/>
  <c r="P4" i="27"/>
  <c r="C3" i="27"/>
  <c r="C2" i="27"/>
  <c r="I6" i="27"/>
  <c r="I5" i="27"/>
  <c r="I4" i="27"/>
  <c r="I27" i="27" l="1"/>
  <c r="H27" i="27"/>
  <c r="L26" i="27"/>
  <c r="K26" i="27"/>
  <c r="I26" i="27"/>
  <c r="H26" i="27"/>
  <c r="C26" i="27" l="1"/>
  <c r="C25" i="27"/>
  <c r="C19" i="27"/>
  <c r="C18" i="27"/>
  <c r="C17" i="27"/>
  <c r="C23" i="27" s="1"/>
  <c r="C15" i="27"/>
  <c r="I13" i="27"/>
  <c r="I12" i="27"/>
  <c r="I11" i="27"/>
  <c r="O33" i="6" l="1"/>
  <c r="N33" i="6"/>
  <c r="R31" i="6"/>
  <c r="Q31" i="6"/>
  <c r="R32" i="6"/>
  <c r="Q32" i="6"/>
  <c r="R33" i="6" l="1"/>
  <c r="Q33" i="6"/>
  <c r="O31" i="6" l="1"/>
  <c r="N32" i="6"/>
  <c r="N31" i="6"/>
  <c r="C36" i="6" l="1"/>
  <c r="C35" i="6"/>
  <c r="C34" i="6"/>
  <c r="G33" i="19" l="1"/>
  <c r="G31" i="19"/>
  <c r="G30" i="19"/>
  <c r="C22" i="6" l="1"/>
  <c r="C21" i="6"/>
  <c r="C20" i="6"/>
  <c r="C19" i="6"/>
  <c r="D36" i="6" s="1"/>
  <c r="C18" i="6"/>
  <c r="D35" i="6" s="1"/>
  <c r="C17" i="6"/>
  <c r="C57" i="2"/>
  <c r="D34" i="6" l="1"/>
  <c r="C31" i="6"/>
  <c r="C15" i="6"/>
  <c r="C6" i="2" l="1"/>
  <c r="C17" i="2" s="1"/>
  <c r="D3" i="2"/>
  <c r="D17" i="2" s="1"/>
</calcChain>
</file>

<file path=xl/sharedStrings.xml><?xml version="1.0" encoding="utf-8"?>
<sst xmlns="http://schemas.openxmlformats.org/spreadsheetml/2006/main" count="2668" uniqueCount="648">
  <si>
    <t xml:space="preserve">CUENTA </t>
  </si>
  <si>
    <t>MES</t>
  </si>
  <si>
    <t>VALOR FIJO</t>
  </si>
  <si>
    <t xml:space="preserve">VALOR CELULAR </t>
  </si>
  <si>
    <t xml:space="preserve">ENERO </t>
  </si>
  <si>
    <t>CONSUMOS TELEFONIA ALSC SEMESTRE I 2018</t>
  </si>
  <si>
    <t>153902811 C19</t>
  </si>
  <si>
    <t>7989553C19</t>
  </si>
  <si>
    <t>4362929C19</t>
  </si>
  <si>
    <t>FEBRERO</t>
  </si>
  <si>
    <t>MARZO</t>
  </si>
  <si>
    <t>MARZO - ABRIL</t>
  </si>
  <si>
    <t>MAYO-JUNIO</t>
  </si>
  <si>
    <t>SEMESTRE 1</t>
  </si>
  <si>
    <t>CONTRATO VOZ IP 175/2017</t>
  </si>
  <si>
    <t>1 ENERO</t>
  </si>
  <si>
    <t>2 FEBRERO</t>
  </si>
  <si>
    <t>3 MARZO</t>
  </si>
  <si>
    <t>4 ABRIL</t>
  </si>
  <si>
    <t>5 MAYO</t>
  </si>
  <si>
    <t>6 JUNIO</t>
  </si>
  <si>
    <t>7 JULIO</t>
  </si>
  <si>
    <t>8 AGOSTO</t>
  </si>
  <si>
    <t>9 SEPTIEMBRE</t>
  </si>
  <si>
    <t>10 OCTUBRE</t>
  </si>
  <si>
    <t>11 NOVIEMBRE</t>
  </si>
  <si>
    <t>12 DICIEMBRE</t>
  </si>
  <si>
    <t/>
  </si>
  <si>
    <t>consumo energia alsc 2017 kw</t>
  </si>
  <si>
    <t>CONSUMOS TELEFONIA ALSC 2017</t>
  </si>
  <si>
    <t>PRESTADOR</t>
  </si>
  <si>
    <t>ETB</t>
  </si>
  <si>
    <t>FECHA</t>
  </si>
  <si>
    <t>VALOR PAGADO</t>
  </si>
  <si>
    <t>ENERO</t>
  </si>
  <si>
    <t>ABRIL</t>
  </si>
  <si>
    <t>MAYO</t>
  </si>
  <si>
    <t>JUNIO</t>
  </si>
  <si>
    <t>JULIO</t>
  </si>
  <si>
    <t>AGOSTO</t>
  </si>
  <si>
    <t>SEPTIEMBRE</t>
  </si>
  <si>
    <t>OCTUBRE</t>
  </si>
  <si>
    <t>NOVIEMBRE</t>
  </si>
  <si>
    <t>DICIEMBRE</t>
  </si>
  <si>
    <t>consumo energia alsc SEMESTRE 1 - 2018 kw</t>
  </si>
  <si>
    <t>ESTRATEGIAS O PROCEDIMIENTOS PARA DISMINUCION DEL CONSUMO</t>
  </si>
  <si>
    <t>OBI134</t>
  </si>
  <si>
    <t>OLM922</t>
  </si>
  <si>
    <t>OLM923</t>
  </si>
  <si>
    <t>OLM924</t>
  </si>
  <si>
    <t>Placa Interna</t>
  </si>
  <si>
    <t xml:space="preserve">Fecha </t>
  </si>
  <si>
    <t>Cantidad</t>
  </si>
  <si>
    <t>Numero Venta</t>
  </si>
  <si>
    <t>Kilometraje</t>
  </si>
  <si>
    <t>PPU descuento</t>
  </si>
  <si>
    <t>Valor Total Descuento</t>
  </si>
  <si>
    <t>Producto</t>
  </si>
  <si>
    <t>DIESEL</t>
  </si>
  <si>
    <t>OBG716</t>
  </si>
  <si>
    <t>OBG717</t>
  </si>
  <si>
    <t>OBG829</t>
  </si>
  <si>
    <t>OBG830</t>
  </si>
  <si>
    <t>OBI544</t>
  </si>
  <si>
    <t>CORRIENTE</t>
  </si>
  <si>
    <t>PERIODO</t>
  </si>
  <si>
    <t>GUACAMAYAS</t>
  </si>
  <si>
    <t xml:space="preserve">CALVO SUR </t>
  </si>
  <si>
    <t>ADMINISTRATIVA</t>
  </si>
  <si>
    <t>Detalle consumos por sede semestre II- 2018</t>
  </si>
  <si>
    <t>Para 2019 se  realizó la firma con CONTRATO 262 DE 2018 de la misma modalidad con un valor para los doce meses  de $ 26.228.076.</t>
  </si>
  <si>
    <t>CONSUMOS DE SERVICIO DE FOTOCOPIADO DE LA ALCALDIA LOCAL DE SAN CRISTOBAL</t>
  </si>
  <si>
    <t>VIGENCIAS 2017 -  30 DE SEPT DE 2018</t>
  </si>
  <si>
    <t>ITEM</t>
  </si>
  <si>
    <t>RADICADO</t>
  </si>
  <si>
    <t>FECHA MES</t>
  </si>
  <si>
    <t>CONTRATISTA</t>
  </si>
  <si>
    <t xml:space="preserve">CONTRATO </t>
  </si>
  <si>
    <t>VALOR</t>
  </si>
  <si>
    <t>FACTURA</t>
  </si>
  <si>
    <t>SERTCO</t>
  </si>
  <si>
    <t>CPS 161-2016</t>
  </si>
  <si>
    <t>CPS 136-2017</t>
  </si>
  <si>
    <t>CPS-226-2018</t>
  </si>
  <si>
    <t>consumo vigencia 2017</t>
  </si>
  <si>
    <t>consumo vigencia 2018</t>
  </si>
  <si>
    <t>total</t>
  </si>
  <si>
    <t>consumo energia alsc TRIMESTRE 1 - 2019 kw</t>
  </si>
  <si>
    <t>FOTOCOPIAS</t>
  </si>
  <si>
    <t>CONCEPTO</t>
  </si>
  <si>
    <t>CUENTA</t>
  </si>
  <si>
    <t>2738879-2</t>
  </si>
  <si>
    <t>VALOR FACTURADO</t>
  </si>
  <si>
    <t>KW CONSUMIDOS</t>
  </si>
  <si>
    <t>TRIMESTRE I 2019</t>
  </si>
  <si>
    <t>2514894-2</t>
  </si>
  <si>
    <t>2061594-4, 1676895-9</t>
  </si>
  <si>
    <t>TRIMESTRE II 2019</t>
  </si>
  <si>
    <t>JUL 18 - SEP 15</t>
  </si>
  <si>
    <t>MAY 18 - JUL 17</t>
  </si>
  <si>
    <t>MAR 18 - MAY 17</t>
  </si>
  <si>
    <t>ENE 18 - MAR 17</t>
  </si>
  <si>
    <t>NOV 18 -ENE 17</t>
  </si>
  <si>
    <t>CONSUMO AGUA ALSC SEMESTRE 1 - 2018 METROS CÚBICOS</t>
  </si>
  <si>
    <t>SEP 16 - NOV 15</t>
  </si>
  <si>
    <t>CONSUMO AGUA ALSC 2017 METROS CÚBICOS</t>
  </si>
  <si>
    <t>MAYO 16 - JULIO 13</t>
  </si>
  <si>
    <t>JULIO 14 - SEPTIEMBRE12</t>
  </si>
  <si>
    <t>SEPTIEMBRE 13 - NOVIEMBRE 13</t>
  </si>
  <si>
    <t>Detalle consumos por sede trimestre I- 2019</t>
  </si>
  <si>
    <t>NOVIEMBRE 13 - ENERO 10</t>
  </si>
  <si>
    <t>ENERO 11 - MARZO 12</t>
  </si>
  <si>
    <t xml:space="preserve">M3 </t>
  </si>
  <si>
    <t>CONSUMO AGUA ALSC TRIMESTRE 1 - 2019 METROS CÚBICOS</t>
  </si>
  <si>
    <t>DIC 28/2018-FEB25/2019</t>
  </si>
  <si>
    <t>feb  26-abr 25</t>
  </si>
  <si>
    <t>MAR 12 - MAY 09</t>
  </si>
  <si>
    <t>ENERO 11 - MARZO 11</t>
  </si>
  <si>
    <t>11106730, 11442378</t>
  </si>
  <si>
    <t>CONSUMO COMBUSTIBLES ALSC TRIMESTRE II 2019</t>
  </si>
  <si>
    <t>Placa</t>
  </si>
  <si>
    <t>PAGOS REALIZADOS COP 262 / 2018</t>
  </si>
  <si>
    <t>ORDEN DE PAGO</t>
  </si>
  <si>
    <t xml:space="preserve">CONTRATISTA </t>
  </si>
  <si>
    <t>MARZO 19/2019</t>
  </si>
  <si>
    <t>JUNIO 07/2019</t>
  </si>
  <si>
    <t xml:space="preserve">ABRIL </t>
  </si>
  <si>
    <t>CONTRATO FINALIZADO</t>
  </si>
  <si>
    <t>CONSUMO AGUA ALSC 2016 METROS CÚBICOS</t>
  </si>
  <si>
    <t>NOV 26 -ENE 22</t>
  </si>
  <si>
    <t>ENE 23 - MAR 22</t>
  </si>
  <si>
    <t>Detalle consumos por sede semestre II- 2016</t>
  </si>
  <si>
    <t>ENERGIA 2016</t>
  </si>
  <si>
    <t>ene</t>
  </si>
  <si>
    <t xml:space="preserve">consumo </t>
  </si>
  <si>
    <t>valor</t>
  </si>
  <si>
    <t>CI-262/2018</t>
  </si>
  <si>
    <t>LOTE VIA SAN CRISTOBAL</t>
  </si>
  <si>
    <t xml:space="preserve">las instalaciones sanitarias de la sede administrativa fueron cambiandas a tecnologia de bajo consumo 4,8 litros por descarga en el 90 % de las 10 baterias existentes, trimestralmente se realiza una campaña de bajo consumo y se señalizaron los baños con elementos comunicativos del programa de ahorro de agua, durante 2018 se cambiaron a tecnologia tipo push seis  lavamanos de alto uso, casa del cosnumidor públicos y almacen. </t>
  </si>
  <si>
    <t xml:space="preserve">LOTE VIA </t>
  </si>
  <si>
    <t>MAY 29-JUL 26</t>
  </si>
  <si>
    <t>JUN 26-AGO23</t>
  </si>
  <si>
    <t>JUL 27- SEP 24</t>
  </si>
  <si>
    <t>MAY 10 - JUL 10 2019</t>
  </si>
  <si>
    <t>MAY 10 - JUL 09 2019</t>
  </si>
  <si>
    <t>SEP 25 - NOV 22</t>
  </si>
  <si>
    <t>SEP 07 - NOV 06</t>
  </si>
  <si>
    <t>JUL 11 -SEP 06</t>
  </si>
  <si>
    <t>AGO 24 - OCT 22</t>
  </si>
  <si>
    <t>JUL 10 - SEP 06</t>
  </si>
  <si>
    <t>ABRI 26 - JUN 25</t>
  </si>
  <si>
    <t xml:space="preserve">SEPTIEMBRE </t>
  </si>
  <si>
    <t>GCW723</t>
  </si>
  <si>
    <t>MC088060</t>
  </si>
  <si>
    <t>MC106665</t>
  </si>
  <si>
    <t>MOTON1</t>
  </si>
  <si>
    <t>RETRO2</t>
  </si>
  <si>
    <t>SECRETARÍA DISTRITAL DE GOBIERNO</t>
  </si>
  <si>
    <t xml:space="preserve">Control mensual de consumo de papel </t>
  </si>
  <si>
    <t xml:space="preserve">PERIODO: </t>
  </si>
  <si>
    <t xml:space="preserve">PROCESO: </t>
  </si>
  <si>
    <t>DEPENDENCIA:</t>
  </si>
  <si>
    <t>GRUPO</t>
  </si>
  <si>
    <t>TAMAÑO</t>
  </si>
  <si>
    <t>SEMANA1</t>
  </si>
  <si>
    <t>SEMANA2</t>
  </si>
  <si>
    <t>SEMANA 3</t>
  </si>
  <si>
    <t>SEMANA 4</t>
  </si>
  <si>
    <t xml:space="preserve">TOTAL </t>
  </si>
  <si>
    <t xml:space="preserve">TOTAL ANUAL </t>
  </si>
  <si>
    <t xml:space="preserve">TOTAL POR GRUPO </t>
  </si>
  <si>
    <t>Despacho</t>
  </si>
  <si>
    <t>CARTA</t>
  </si>
  <si>
    <t>OFICIO</t>
  </si>
  <si>
    <t>Atención a la Ciudadanía</t>
  </si>
  <si>
    <t>Actividades de Derechos Humanos en la Localidad</t>
  </si>
  <si>
    <t>Coordinación Policiva y Jurídica</t>
  </si>
  <si>
    <t>Actividades de Inspección, Vigilancia y Control en la Localidad.</t>
  </si>
  <si>
    <t>Coordinación Gestión Desarrollo Local</t>
  </si>
  <si>
    <t>Presupuesto</t>
  </si>
  <si>
    <t>Planeación</t>
  </si>
  <si>
    <t xml:space="preserve">Contratación </t>
  </si>
  <si>
    <t>Almacén</t>
  </si>
  <si>
    <t>Contabilidad</t>
  </si>
  <si>
    <t>Otro</t>
  </si>
  <si>
    <t>Subsidio c</t>
  </si>
  <si>
    <t>Titulación</t>
  </si>
  <si>
    <t>Tecnologías de la Información Local</t>
  </si>
  <si>
    <t>Gestión Documental Local y CDI</t>
  </si>
  <si>
    <t>Actividades Relaciones Estratégicas Local (JAL)</t>
  </si>
  <si>
    <t>Prensa y comunicaciones local</t>
  </si>
  <si>
    <t>TOTAL</t>
  </si>
  <si>
    <t>RELACIÓN ENTREGA DE PAPEL  NIVEL LOCAL</t>
  </si>
  <si>
    <t>PROCESO</t>
  </si>
  <si>
    <t>DISTRIBUCIÓN</t>
  </si>
  <si>
    <t xml:space="preserve">FECHA DE ENTREGA * </t>
  </si>
  <si>
    <t>CANTIDAD</t>
  </si>
  <si>
    <t xml:space="preserve">FECHA DE ENTREGA </t>
  </si>
  <si>
    <t>Servicio a la Ciudadanía</t>
  </si>
  <si>
    <t>Atención a la ciudadanía</t>
  </si>
  <si>
    <t>Macro Proceso de Derechos Humanos</t>
  </si>
  <si>
    <t>Fomento y protección de los DDHH</t>
  </si>
  <si>
    <t>Macro Proceso Gestión Territorial</t>
  </si>
  <si>
    <t xml:space="preserve">Gestión Pública Territorial Local </t>
  </si>
  <si>
    <t xml:space="preserve">Coordinación Normativa y Jurídica  </t>
  </si>
  <si>
    <t>Inspección, vigilancia y control</t>
  </si>
  <si>
    <t>Actividades de Inspección, vigilancia y control.</t>
  </si>
  <si>
    <t>Macro Proceso Gestión Corporativa</t>
  </si>
  <si>
    <t>Gestión Corporativa Local</t>
  </si>
  <si>
    <t xml:space="preserve">Coordinación Administrativa y Financiera </t>
  </si>
  <si>
    <t>Contratación</t>
  </si>
  <si>
    <t>Gerencia de TIC</t>
  </si>
  <si>
    <t>Equipo tecnologías de la información</t>
  </si>
  <si>
    <t>Gestión del Patrimonio Documental</t>
  </si>
  <si>
    <t xml:space="preserve">Equipo Gestión documental </t>
  </si>
  <si>
    <t>CDI</t>
  </si>
  <si>
    <t xml:space="preserve">Macro Proceso Planeación Estratégica </t>
  </si>
  <si>
    <t>Planeación Institucional</t>
  </si>
  <si>
    <t xml:space="preserve">Comunicación Estratégica </t>
  </si>
  <si>
    <t>Oficinas de Prensa</t>
  </si>
  <si>
    <t xml:space="preserve">Relaciones Estratégicas </t>
  </si>
  <si>
    <t>Actividades asociadas a relaciones estratégicas</t>
  </si>
  <si>
    <t>* Si requiere INSERTAR más columnas comuniquesé con la Oficina Asesora de Planeación</t>
  </si>
  <si>
    <t>N7AF</t>
  </si>
  <si>
    <t>N8C018</t>
  </si>
  <si>
    <t>Seguridad y convivencia</t>
  </si>
  <si>
    <t>Buen trato</t>
  </si>
  <si>
    <t>Otro liquidaciones</t>
  </si>
  <si>
    <t>PPU</t>
  </si>
  <si>
    <t>Valor total</t>
  </si>
  <si>
    <t>Estacion</t>
  </si>
  <si>
    <t>Esso QUIROGA</t>
  </si>
  <si>
    <t>CONSUMO COMBUSTIBLES ALSC TRIMESTRE II 2020</t>
  </si>
  <si>
    <t xml:space="preserve">JAL </t>
  </si>
  <si>
    <t>Obras - Infraestructura</t>
  </si>
  <si>
    <t>Responsable de diligenciamiento: ROLF GÜNTHER STRAUSS LAVERDE</t>
  </si>
  <si>
    <t xml:space="preserve">Las condiciones operativas del sistema de telefonía en 2017 mantenian quince líneas telefónicas en funcionamiento, sin conexión entre sedes, por lo anterior se concentró el sistema en el contrato 175/2017 en el cual el mismo prestador del servicio proporciona servicio de voz ip con 54 extensiones en conexión de las sede administrativa , inspecciones y calvo sur , así como equipos de telefonía con cargo al mismo contrato, la comunicación a teléfonos moviles no genera cargos adicionales , la ejecución  del contrato fue  de $28,547,281 por un periodo de doce meses que inició en diciembre de  2017 y finalizó en diciembre de 2018, solo tres teléfonos están habilitados para uso de telefonía movil sin generar facturación adicional. los contratos anteriores se suspendieron y se evidencia en la disminuición de los pagos por factura en 2018. </t>
  </si>
  <si>
    <t xml:space="preserve">Se realizó cambio de tecnología de luz fluorescente a iluminación LED en el 75 % de las instalaciones, asi mismo se realizó en 2017 y lo corrido de 2018 el cambio de equipos de computo con tecnología eficiente conforme los lineamientos de secretaria de gobierno, esta estrategia se complementó con la adquisición de un sistema de red regulada en la vigencia 2017 para el suministro de energía a los equipos. Trimestralmente se realiza una campaña de consumo responsable de energía y para lo restante de 2018 se cambiará a tecnologia LED, la totalidad de la iluminación,  los equipos nuevos además se configuraron con esquema de hibernación después de 15 minutos de inactividad. </t>
  </si>
  <si>
    <t xml:space="preserve">MES </t>
  </si>
  <si>
    <t xml:space="preserve">VALOR PAGADO </t>
  </si>
  <si>
    <t>CUENTA REFERENCIA</t>
  </si>
  <si>
    <t>CONSUMOS DE TELEFONÍA ALSC II SEMESTRE 2020 CONTRATO 233-2020</t>
  </si>
  <si>
    <t xml:space="preserve">TOTAL PAGADO </t>
  </si>
  <si>
    <t>CONSUMO DE INTERNET 2020 CONTRATO 355-2019</t>
  </si>
  <si>
    <t xml:space="preserve">                                                                                                    CUENTA   No.006</t>
  </si>
  <si>
    <t>FACT</t>
  </si>
  <si>
    <t xml:space="preserve">FECHA </t>
  </si>
  <si>
    <t>VEHICULO</t>
  </si>
  <si>
    <t>PLACA</t>
  </si>
  <si>
    <t>MANTENIMIENTO REALIZADO</t>
  </si>
  <si>
    <t>V/TOTAL</t>
  </si>
  <si>
    <t>T20965</t>
  </si>
  <si>
    <t>ENERO   3/20</t>
  </si>
  <si>
    <t>MOTONIVELADORA CASE</t>
  </si>
  <si>
    <t>T20966</t>
  </si>
  <si>
    <t>VOLQUETA INTERNATIONAL</t>
  </si>
  <si>
    <t>OBG-717</t>
  </si>
  <si>
    <t>Aceite de motor</t>
  </si>
  <si>
    <t>T20967</t>
  </si>
  <si>
    <t>RETROEXACAVADORA CASE</t>
  </si>
  <si>
    <t>580M</t>
  </si>
  <si>
    <t>D/M llanta trasera para vulcanizar y arreglar</t>
  </si>
  <si>
    <t>T20968</t>
  </si>
  <si>
    <t>MINICARGADOR</t>
  </si>
  <si>
    <t>SR-220</t>
  </si>
  <si>
    <t>Despiche de llanta con dos parches vulcanizados</t>
  </si>
  <si>
    <t>T20969</t>
  </si>
  <si>
    <t>NISSAN  FRONTIER</t>
  </si>
  <si>
    <t>OLM-923</t>
  </si>
  <si>
    <t>Cambio de bateria</t>
  </si>
  <si>
    <t>T20970</t>
  </si>
  <si>
    <t>OLM-922</t>
  </si>
  <si>
    <t>T20971</t>
  </si>
  <si>
    <t>BUSETA  HINO</t>
  </si>
  <si>
    <t>OBI-134</t>
  </si>
  <si>
    <t>Revision de conexiones de reverso, cambio de cocuyo lateral y cambios de bombillos traseros</t>
  </si>
  <si>
    <t>T20972</t>
  </si>
  <si>
    <t>instalacion de pasadores de balde con sus respectivos pines</t>
  </si>
  <si>
    <t>T20973</t>
  </si>
  <si>
    <t>LAVADOS</t>
  </si>
  <si>
    <t>VARIAS</t>
  </si>
  <si>
    <t>lavados realizados al parque automotor</t>
  </si>
  <si>
    <t xml:space="preserve"> </t>
  </si>
  <si>
    <t>VALOR TOTAL  INCLUIDO IVA</t>
  </si>
  <si>
    <t>CUENTA 7</t>
  </si>
  <si>
    <t>T21074</t>
  </si>
  <si>
    <t>FEBRERO 4/20</t>
  </si>
  <si>
    <t>VOLQUETA INTERNACIONAL</t>
  </si>
  <si>
    <t>OBG-716</t>
  </si>
  <si>
    <t>Revision de transmision de caja y nivel de lubricantes, revision del sistema electrico</t>
  </si>
  <si>
    <t>T21075</t>
  </si>
  <si>
    <t>TOYOTA</t>
  </si>
  <si>
    <t>OBI-544</t>
  </si>
  <si>
    <t>T21076</t>
  </si>
  <si>
    <t>OBG-829</t>
  </si>
  <si>
    <t>T21077</t>
  </si>
  <si>
    <t>RETROEXCAVADORA CASE</t>
  </si>
  <si>
    <t>D/M rin para rectificación con servicio de despinchado</t>
  </si>
  <si>
    <t>T21078</t>
  </si>
  <si>
    <t>D/M balde trasero para cambios de pasador de buje</t>
  </si>
  <si>
    <t>T21079</t>
  </si>
  <si>
    <t>BUSETA HINO</t>
  </si>
  <si>
    <t>0BI-134</t>
  </si>
  <si>
    <t>Engrase general y cambio de graseras, limpieza y graduación de frenos, graduacion de freno de mano, torqueo de suspension delantera y trasera, cambio de cocuyos laterales, arreglos de conecciones switch consola izquierda, revision tecnicomecanica y de gases, instalacion de cintas reflectivas</t>
  </si>
  <si>
    <t>T21080</t>
  </si>
  <si>
    <t>D/M llanta derecha despuinche con dos parches y cambio de valvulas</t>
  </si>
  <si>
    <t>T21081</t>
  </si>
  <si>
    <t>OBG-830</t>
  </si>
  <si>
    <t xml:space="preserve">revision y reiniciar sistema de encendido </t>
  </si>
  <si>
    <t>T21082</t>
  </si>
  <si>
    <t>cambio de aceite con filtros, cambio de filtro de combustible, purga del sistema de inyeccion, cambio de filtro hidraulico y purga del sistema, completar niveles y lavado de motor</t>
  </si>
  <si>
    <t>T21083</t>
  </si>
  <si>
    <t>revision y reiniciar sistema de encendido, cambio de las dos baterias</t>
  </si>
  <si>
    <t>T21084</t>
  </si>
  <si>
    <t>MOTONOVELADORA CASE</t>
  </si>
  <si>
    <t xml:space="preserve">revision y mantenimiento electronico </t>
  </si>
  <si>
    <t>T21085</t>
  </si>
  <si>
    <t>lavados programados en el periodo</t>
  </si>
  <si>
    <t>CUENTA   No.008</t>
  </si>
  <si>
    <t>T21300</t>
  </si>
  <si>
    <t>ABRIL   8/20</t>
  </si>
  <si>
    <t>VOLQUETA  INTERNATIONAL</t>
  </si>
  <si>
    <t>cambio de filtro de aire acondicionado, lavado y mantenimiento sensor sedimentador, multilplicador de fuerza con reparacion, cambio de empaque ptu , cambio de tarro del hidraulico, D/M caja de fusible para arreglo, stop superior, D/M exhosto para arreglo, arreglo de coro de luces con cambio de cableado</t>
  </si>
  <si>
    <t>T21301</t>
  </si>
  <si>
    <t>HINO-CAMABAJA</t>
  </si>
  <si>
    <t>GCW-723</t>
  </si>
  <si>
    <t xml:space="preserve">galones de urea automotriz </t>
  </si>
  <si>
    <t>T21302</t>
  </si>
  <si>
    <t>Cambio de baterias</t>
  </si>
  <si>
    <t>T21303</t>
  </si>
  <si>
    <t>CAMABAJA</t>
  </si>
  <si>
    <t xml:space="preserve"> pin de quinta rueda y teflon para quinta rueda</t>
  </si>
  <si>
    <t>T21304</t>
  </si>
  <si>
    <t>alistamiento para revision tecnicomecanica con el certificado de tecnicomecanica</t>
  </si>
  <si>
    <t>VALOR TOTAL INCLUIDO  IVA</t>
  </si>
  <si>
    <t>CUENTA   No.009</t>
  </si>
  <si>
    <t>T21388</t>
  </si>
  <si>
    <t>MAYO    8/20</t>
  </si>
  <si>
    <t>TOYOYA</t>
  </si>
  <si>
    <t>Cambio de bateria y revision de carga del sistema</t>
  </si>
  <si>
    <t>T21389</t>
  </si>
  <si>
    <t>Lavados de los vehiculos</t>
  </si>
  <si>
    <t>cuenta 10</t>
  </si>
  <si>
    <t>T21554</t>
  </si>
  <si>
    <t>JUNIO 3/20</t>
  </si>
  <si>
    <t>Arreglo de sistema electrico tablero de instrumentos, arreglos conecciones instalacion para el motor de arranque, revision corto en instalacion electrico y cambio de sensor de embrague.</t>
  </si>
  <si>
    <t>T21555</t>
  </si>
  <si>
    <t>JUNIO 3/21</t>
  </si>
  <si>
    <t>NISSAN FRONTIER</t>
  </si>
  <si>
    <t>Cambio de aceite y filtros, cambio de pastillas delanteras, mantenimiento de mordazas y engrase de pasadores, alineacion y balanceo y completar niveles.</t>
  </si>
  <si>
    <t>T21556</t>
  </si>
  <si>
    <t>JUNIO 3/22</t>
  </si>
  <si>
    <t>FRONTIER NISSAN</t>
  </si>
  <si>
    <t>OLM-924</t>
  </si>
  <si>
    <t>Cambio de aceite y filtros, limpieza y gradiacion de frenos</t>
  </si>
  <si>
    <t>T21557</t>
  </si>
  <si>
    <t>JUNIO 3/23</t>
  </si>
  <si>
    <t xml:space="preserve">TOYOTA </t>
  </si>
  <si>
    <t>Cambio de aceite y filtros , limpieza y graduacion de frenos, lavado exterior y cambio de filtro de combustible</t>
  </si>
  <si>
    <t>T21558</t>
  </si>
  <si>
    <t>JUNIO 3/24</t>
  </si>
  <si>
    <t>lavados con desinfeccion de los vehiculos</t>
  </si>
  <si>
    <t>T21570</t>
  </si>
  <si>
    <t>JUNIO 3/25</t>
  </si>
  <si>
    <t>Cambio de aceite y filtros, cambio de pastillas delanteras, engrase de pasadores, limpieza y graduacion de frenos</t>
  </si>
  <si>
    <t>VALOR TOTAL INCLUIDO IVA</t>
  </si>
  <si>
    <t>cuenta 11</t>
  </si>
  <si>
    <t>T21673</t>
  </si>
  <si>
    <t>Cambio de aceite y filtros, limpieza y graduacion de frenos, cambio de rodamientos delanteros y traseros, cambio de retenes de ruedas delanteros y traseros, cambio de filtro de combustible y purga del sistema, lavado y mantenimiento de sedimentador y trampa , graduacion de freno de mano y lavado general con desinfeccion</t>
  </si>
  <si>
    <t>T21674</t>
  </si>
  <si>
    <t>instalacion de barrea de aislamiento al interior del vehiculo aisla silla delantera de las traseras</t>
  </si>
  <si>
    <t>T21675</t>
  </si>
  <si>
    <t>lavados de la entidad con desinfeccion</t>
  </si>
  <si>
    <t>T21683</t>
  </si>
  <si>
    <t>T21684</t>
  </si>
  <si>
    <t>Compra e instalacion de espejo izquierdo</t>
  </si>
  <si>
    <t>T21685</t>
  </si>
  <si>
    <t>T21686</t>
  </si>
  <si>
    <t>cuenta 12</t>
  </si>
  <si>
    <t>T21791</t>
  </si>
  <si>
    <t>AGOSTO 2 /20</t>
  </si>
  <si>
    <t>Cambio de Baterias y revision de carga del sistema</t>
  </si>
  <si>
    <t>T21792</t>
  </si>
  <si>
    <t>Montaje de cuatro llantas con alineacion y balanceo</t>
  </si>
  <si>
    <t>T21793</t>
  </si>
  <si>
    <t>CAMA BAJA</t>
  </si>
  <si>
    <t>cambio de baterias</t>
  </si>
  <si>
    <t>T21794</t>
  </si>
  <si>
    <t>lavados del parque automotor con desinfeccion</t>
  </si>
  <si>
    <t>ULTIMO PAGO</t>
  </si>
  <si>
    <t>T21892</t>
  </si>
  <si>
    <t>Septiembre</t>
  </si>
  <si>
    <t>Buseta HINO</t>
  </si>
  <si>
    <t>DESMONTAR SILLA CONDUCTOR Y SILLA AUXILIAR PARA SOLDAR Y REFORZAR CON GRADUACION DE EMBRAGUE</t>
  </si>
  <si>
    <t>T21893</t>
  </si>
  <si>
    <t>CAMIONETA TOYOTA</t>
  </si>
  <si>
    <t>DESPINCHES</t>
  </si>
  <si>
    <t>T21894</t>
  </si>
  <si>
    <t>CAMIONETA NISSAN</t>
  </si>
  <si>
    <t>T21895</t>
  </si>
  <si>
    <t>VOLQUETA CONTINENTAL</t>
  </si>
  <si>
    <t>INSTALACION DE CINTA REFLECTIVA, REVISION Y AJUSTE GENERAL DE LUCES, REVISION TECNICOMECANICA, ARREGLO CAJA DE HERRAMIENTAS, ARREGLO DE CONECCION DE STOP, EMPACAR COMPRESOR, CAMBIO DE CUPLIN DE TRANSMISION Y CAMBIO DE RETEN CON CORRECCION DE FUGA DE VALVULINA, CAMBIO DE EMPAQUE DE CARTER, AJUSTE DE RACHES DE FRENO, CORRECCION DE FUGA DE ACEITE HIDRAULICO POR LA BOMBA, LAVADO GENERAL, ENGRASE, CAMBIO DE 1 BATERIA, CAMBIO DE MANGUERA Y ABRAZADERAS DE AIRE CON AJUSTE DE SUSPENSION</t>
  </si>
  <si>
    <t>T21896</t>
  </si>
  <si>
    <t>INSTALACION DE CINTAS REFLECTIVAS, REVISION GENERAL DE LUCES, D/M CONJUNTO DELANTERO, AJUSTAR CAJA DE HERRAMIENTA, D/M INTERCOOLER-RADIADOR, D/M CORREAS COMPRESOR, GRADUAR FRENOS TRASEROS, REVISION Y MANTENIMIENTO DE FRENOS, D/M BOMBA DE INYECCION , CAMBIO DE RETEN , CORREGIR FUGA DE ACEITES HIDRAULICO, LAVADO GENERAL , ENGRASE GENERAL , INSTALACION DE BOCEL, REVISION TECNICOMECANICA, CAMBIO DE 3 BOMBILLOS, SUMINISTRO DE REFRIGERANTE.</t>
  </si>
  <si>
    <t>T21897</t>
  </si>
  <si>
    <t>INSTALACION DE 4 LLANTAS NUEVAS, ALINEACION Y BALANCERO, AJUSTE Y RETORQUEO DE SUSPENSION, LIMPIEZA Y GRADUACION DE FRENOS Y CAMBIO DE LIGAS DEL CALIPER</t>
  </si>
  <si>
    <t>T21898</t>
  </si>
  <si>
    <t>D/M CAJA DE VELOCIDADES, CAMBIO DE RETEN CHOROTE DE LA CAJA, REVISION Y MANTENIMIENTO DE SISTEMA DE FRENOS, REVISION Y AJUSTE GENERAL DE FRENOS, REVISION Y MANTENIMIENTO DE BOMBA DE INYECCION, REVISION DE TRANSMISION DE CAJA Y NIVELACION DE LUBRICANTES, ENGRASE GENERAL, LAVADO GENERAL, INSTALACION DE CINTAS REFLECTIVAS, AJUSTAR PORTAREPUESTO DE LA LLANTA, ARREGLO DE CONEXIONES Y CAMBIO DE BOMBILLOS, ACEITE HIDRAULICO, EMPAQUETADURA COMPLETA DE BOMBA DE INYECCION</t>
  </si>
  <si>
    <t>T21899</t>
  </si>
  <si>
    <t>SR220</t>
  </si>
  <si>
    <t>AJUSTE DE TORNILLERIA DE PARTES SUELTAS, PURGA DEL SISTEMA DE COMBUSTIBLE, ENGASE GENERAL, LAVADO GENERAL, REVISION Y ARREGLO DE CORTO ELECTRICO, SERVICIO DE SCANNER PARA CORREGIR TESTIGO DE COMBUSTIBLE ENCENDIDO, AJUSTAR CONTROLES DE MANDO Y PONER A CARGA LENTA DE BATERIA</t>
  </si>
  <si>
    <t>T21900</t>
  </si>
  <si>
    <t>REVISION Y MANTENIMIENTO DE SISTEMA DE FRENOS, LAVADO GENERAL, ENGRASE GENERAL, INSTALACION DE CINTAS REFLECTIVAS, REVISION GENERAL DE LUCES, D/M CAJA DE FUSIBLES , REVISION DE CARGA DE LAS BATERIAS, CAMBIO DE EMPAQUE DEL CARTER, CAMBIO DE EMPAQUES DEL COMPRESOR, CAMBIO DE RETEN DE DAMPER, CAMBIO DE EMPAQUETADURA PARTE DELANTERO, D/M TOMA FUERZA REVISION FUGA DE HIDRAULICO, REPARACION DE BOMBA HIDRAULICA DE LEVANTE Y REVISION Y AJUSTE DE SUSPENSION</t>
  </si>
  <si>
    <t>T21901</t>
  </si>
  <si>
    <t>AJUSTE Y RETORQUE DE SUSPENSION, CAMBIO DE 4 LLANTAS, ALINEACION Y BALANCEO, LIMPIEZA Y GRADUACION DE FRENOS, CORREGIR FUGA DE LIQUIDO DE FRENOS</t>
  </si>
  <si>
    <t>T21902</t>
  </si>
  <si>
    <t xml:space="preserve">LAVADOS CON DESINFECCION </t>
  </si>
  <si>
    <t>VEHÍCULO</t>
  </si>
  <si>
    <t>TIPO DE VEHÍCULO</t>
  </si>
  <si>
    <t>MARCA</t>
  </si>
  <si>
    <t>MODELO</t>
  </si>
  <si>
    <t>TECNICOMECANICA</t>
  </si>
  <si>
    <t>OBSERVACIÓN.</t>
  </si>
  <si>
    <t>CAMIONETA</t>
  </si>
  <si>
    <t>LIVIANO</t>
  </si>
  <si>
    <t>No CERTIFICADO: 146411606</t>
  </si>
  <si>
    <t>NISSAN</t>
  </si>
  <si>
    <t>N/A</t>
  </si>
  <si>
    <t>BUSETA</t>
  </si>
  <si>
    <t>PESADO</t>
  </si>
  <si>
    <t>HINO</t>
  </si>
  <si>
    <t>No CERTIFICADO: 45456823</t>
  </si>
  <si>
    <t>VOLQUETA</t>
  </si>
  <si>
    <t>INTERNATIONAL</t>
  </si>
  <si>
    <t>No CERTIFICADO: 150460106</t>
  </si>
  <si>
    <t>No CERTIFICADO: 150490747</t>
  </si>
  <si>
    <t>No CERTIFICADO: 148917382</t>
  </si>
  <si>
    <t>No CERTIFICADO: 149008906</t>
  </si>
  <si>
    <t>MAQUINARIA AMARILLA</t>
  </si>
  <si>
    <t>CASE</t>
  </si>
  <si>
    <t>VIBROCOMPACTADOR</t>
  </si>
  <si>
    <t>AMMAN</t>
  </si>
  <si>
    <t>ARX45K</t>
  </si>
  <si>
    <t>MOTONIVELADORA</t>
  </si>
  <si>
    <t>RETROEXCAVADORA</t>
  </si>
  <si>
    <t>Actividades asociadas a  la Gobernabilidad y Garantía de Derechos</t>
  </si>
  <si>
    <t>Gestión de Riesgos - PIGA</t>
  </si>
  <si>
    <t>Planeación-Ambiente</t>
  </si>
  <si>
    <t>Calidad</t>
  </si>
  <si>
    <t>FECHA DE</t>
  </si>
  <si>
    <t xml:space="preserve">FECHA DE </t>
  </si>
  <si>
    <t xml:space="preserve"> ENTREGA </t>
  </si>
  <si>
    <t xml:space="preserve">ENTREGA </t>
  </si>
  <si>
    <t xml:space="preserve">ALCALDIA LOCAL DE SAN CRISTOBAL </t>
  </si>
  <si>
    <t xml:space="preserve">Obras/Infraestructura </t>
  </si>
  <si>
    <t xml:space="preserve">RESPONSABLE DILIGENCIAMIENTO: </t>
  </si>
  <si>
    <t>ROLF GÜNTHER STRAUSS LAVERDE</t>
  </si>
  <si>
    <t>PRIMER  y SEGUNDO SEMESTRE 2020</t>
  </si>
  <si>
    <t xml:space="preserve">                               CONSOLIDADO DE CONSUMO DE PAPEL</t>
  </si>
  <si>
    <t>LA MAQUINARIA AMARILLA NO REQUIERE REVISION TECNICOMECÁNICA</t>
  </si>
  <si>
    <t>ESTÁ AÚN EN EL TIEMPO DE LOS 5 AÑOS PARA LA PRIMERA TECNICOMECÁNICA</t>
  </si>
  <si>
    <t>revisión y ajuste general de frenos delanteros y traseros, D/M freno de ahogo, empacar y suavizar calibrar freno de ahogo, arreglo de instalacion eléctrica, revisión y mantenimiento termostato, graduación del embrague , D/M capacete de motor, D/M barra de cambios y arreglo de estribo derecho.</t>
  </si>
  <si>
    <t>cambio de aceite con filtros, graduación de frenos, lavado general.</t>
  </si>
  <si>
    <t>Servicio de scanner, para borrar codigo de tablero, corregí corto en instalación de baja</t>
  </si>
  <si>
    <t>Desmontar llanta delantera derecha para despinche y reparacion de válvula</t>
  </si>
  <si>
    <t>Cuentas</t>
  </si>
  <si>
    <t>Consecutivo</t>
  </si>
  <si>
    <t>Fecha Inicial</t>
  </si>
  <si>
    <t>Fecha Final</t>
  </si>
  <si>
    <t>Volumen</t>
  </si>
  <si>
    <t>Valor Total</t>
  </si>
  <si>
    <t>Precio Negociado</t>
  </si>
  <si>
    <t>Valor Total Negociado</t>
  </si>
  <si>
    <t>Productos</t>
  </si>
  <si>
    <t>FONDO DE DESARROLLO LOCAL DE SAN CRISTOBAL</t>
  </si>
  <si>
    <t>8290</t>
  </si>
  <si>
    <t>DIESEL 2</t>
  </si>
  <si>
    <t>8190</t>
  </si>
  <si>
    <t>Total</t>
  </si>
  <si>
    <t>8390</t>
  </si>
  <si>
    <t>CORRIENTE 2</t>
  </si>
  <si>
    <t>ESTACIÓN</t>
  </si>
  <si>
    <t>Contrato comunicaciones 355 -2019</t>
  </si>
  <si>
    <t>Total kw 2019</t>
  </si>
  <si>
    <t>SEDE</t>
  </si>
  <si>
    <t>VIGENCIA</t>
  </si>
  <si>
    <t>CODIGO_COMPANIA</t>
  </si>
  <si>
    <t>UNIDAD_EJECUTORA</t>
  </si>
  <si>
    <t>TIPO_PAGO</t>
  </si>
  <si>
    <t>No_RELACION</t>
  </si>
  <si>
    <t>No_ORDEN</t>
  </si>
  <si>
    <t>FECHA_ORDEN</t>
  </si>
  <si>
    <t>FECHA_REGISTRO</t>
  </si>
  <si>
    <t>No_REGISTRO</t>
  </si>
  <si>
    <t>No_DISPONIBILIDAD</t>
  </si>
  <si>
    <t>TIPO_COMPROMISO</t>
  </si>
  <si>
    <t>No_COMPROMISO</t>
  </si>
  <si>
    <t>TIPO_DOCUMENTO</t>
  </si>
  <si>
    <t>NUMERO_DOCUMENTO</t>
  </si>
  <si>
    <t>BENEFICIARIO</t>
  </si>
  <si>
    <t>NETO</t>
  </si>
  <si>
    <t>ORDENES DE PAGO</t>
  </si>
  <si>
    <t>CONTRATO DE PRESTACION DE SERVICIOS</t>
  </si>
  <si>
    <t>NIT</t>
  </si>
  <si>
    <t>SERTCO S&amp;S LTDA</t>
  </si>
  <si>
    <t>1,086,231.00</t>
  </si>
  <si>
    <t>1,207,007.00</t>
  </si>
  <si>
    <t>1,025,949.00</t>
  </si>
  <si>
    <t>740,434.00</t>
  </si>
  <si>
    <t>1,099,926.00</t>
  </si>
  <si>
    <t>1,248,871.00</t>
  </si>
  <si>
    <t>$23.187.000.00</t>
  </si>
  <si>
    <t>SERTCO S&amp;S LTDA, identificado con NIT 830.080.796-7</t>
  </si>
  <si>
    <t>OBJETO CONTRACTUAL</t>
  </si>
  <si>
    <t>CONTRATISTA PRESTADOR</t>
  </si>
  <si>
    <t>"Contratar la prestación mediante el sistema de outsourcing del servicio integral de fotocopiado a precios unitarios a través de dos (02) maquinas fotocopiadoras multifuncionales, para ser instaladas en cualquiera de las dependencias de la alcaldía local, cuyo servicio incluya el mantenimiento preventivo y correctivo en forma permanente de los equipos, así mismo el suministro de los insumos requeridos como tonner, papel y repuestos; lo anterior de conformidad con los estudios previos y el anexo técnico”</t>
  </si>
  <si>
    <t>COP</t>
  </si>
  <si>
    <t>2401010100</t>
  </si>
  <si>
    <t>KR-Factura acreedor</t>
  </si>
  <si>
    <t>2020</t>
  </si>
  <si>
    <t>CPS 3332019</t>
  </si>
  <si>
    <t>830080796</t>
  </si>
  <si>
    <t>5000060262</t>
  </si>
  <si>
    <t>CPS 233-2019</t>
  </si>
  <si>
    <t>5000301809</t>
  </si>
  <si>
    <t>5000301810</t>
  </si>
  <si>
    <t>CPS 333-2019</t>
  </si>
  <si>
    <t>5000448075</t>
  </si>
  <si>
    <t>Facturación de fotocopiado DE ENERO A SEPTIEMBRE</t>
  </si>
  <si>
    <t>Sociedad</t>
  </si>
  <si>
    <t>Segmento</t>
  </si>
  <si>
    <t>Recept.pago</t>
  </si>
  <si>
    <t>Clase de documento</t>
  </si>
  <si>
    <t>Descripción</t>
  </si>
  <si>
    <t>Moneda de la sociedad</t>
  </si>
  <si>
    <t>Número de cuenta</t>
  </si>
  <si>
    <t>Texto explicativo</t>
  </si>
  <si>
    <t>Ejercicio</t>
  </si>
  <si>
    <t>Per.presup.</t>
  </si>
  <si>
    <t>Endoso</t>
  </si>
  <si>
    <t>Asignación</t>
  </si>
  <si>
    <t>Clase identificación</t>
  </si>
  <si>
    <t>Número de identificación</t>
  </si>
  <si>
    <t>Nombre 1</t>
  </si>
  <si>
    <t>Fe.contabilización</t>
  </si>
  <si>
    <t>Valor Bruto</t>
  </si>
  <si>
    <t>Valor Retenciones</t>
  </si>
  <si>
    <t>Valor Neto</t>
  </si>
  <si>
    <t>Fecha compensación</t>
  </si>
  <si>
    <t>Doc.compensación</t>
  </si>
  <si>
    <t>1001</t>
  </si>
  <si>
    <t>11101004</t>
  </si>
  <si>
    <t>KR</t>
  </si>
  <si>
    <t>FACTURAS</t>
  </si>
  <si>
    <t>EMPRESA DE ACUEDUCTO Y ALCANTARILLADO DE BOGOTA ESP</t>
  </si>
  <si>
    <t>125,620.00</t>
  </si>
  <si>
    <t>313,340.00</t>
  </si>
  <si>
    <t>54,429.00</t>
  </si>
  <si>
    <t>8,336,690.00</t>
  </si>
  <si>
    <t>157,270.00</t>
  </si>
  <si>
    <t>02-APR-20</t>
  </si>
  <si>
    <t>9,000,310.00</t>
  </si>
  <si>
    <t>106,680.00</t>
  </si>
  <si>
    <t>8,614,340.00</t>
  </si>
  <si>
    <t>557,440.00</t>
  </si>
  <si>
    <t>116,775.00</t>
  </si>
  <si>
    <t>05-AUG-20</t>
  </si>
  <si>
    <t>206,200.00</t>
  </si>
  <si>
    <t>09-AUG-20</t>
  </si>
  <si>
    <t>8,224,560.00</t>
  </si>
  <si>
    <t>81,410.00</t>
  </si>
  <si>
    <t>65,756.00</t>
  </si>
  <si>
    <t>PAGOS DE FACTURAS DE ENERO A SEPTIEMBRE DE 2020</t>
  </si>
  <si>
    <t>PAGOS DE FACTURAS DE OCTUBRE A DICIEMBRE DE 2020</t>
  </si>
  <si>
    <t>2490510100</t>
  </si>
  <si>
    <t>Cuenta contrato 1</t>
  </si>
  <si>
    <t>899999094</t>
  </si>
  <si>
    <t>EMPRESA DE ACUEDUCTO Y ALCANTA</t>
  </si>
  <si>
    <t>5000036290</t>
  </si>
  <si>
    <t>5000005989</t>
  </si>
  <si>
    <t>Cuenta contrato 9</t>
  </si>
  <si>
    <t>5000036291</t>
  </si>
  <si>
    <t>5000036292</t>
  </si>
  <si>
    <t>Cuenta 11554725</t>
  </si>
  <si>
    <t>5000169530</t>
  </si>
  <si>
    <t>5000348102</t>
  </si>
  <si>
    <t>5000348103</t>
  </si>
  <si>
    <t>5000348104</t>
  </si>
  <si>
    <t>16-JAN-20</t>
  </si>
  <si>
    <t>CODENSA S. A. ESP</t>
  </si>
  <si>
    <t>91,250.00</t>
  </si>
  <si>
    <t>3,948,680.00</t>
  </si>
  <si>
    <t>111,490.00</t>
  </si>
  <si>
    <t>3,708,970.00</t>
  </si>
  <si>
    <t>47,279.00</t>
  </si>
  <si>
    <t>57,771.00</t>
  </si>
  <si>
    <t>102,800.00</t>
  </si>
  <si>
    <t>46,860.00</t>
  </si>
  <si>
    <t>3,639,000.00</t>
  </si>
  <si>
    <t>103,020.00</t>
  </si>
  <si>
    <t>52,730.00</t>
  </si>
  <si>
    <t>107,410.00</t>
  </si>
  <si>
    <t>50,490.00</t>
  </si>
  <si>
    <t>64,690.00</t>
  </si>
  <si>
    <t>133,480.00</t>
  </si>
  <si>
    <t>36,860.00</t>
  </si>
  <si>
    <t>03-APR-20</t>
  </si>
  <si>
    <t>3,980,820.00</t>
  </si>
  <si>
    <t>2,785,250.00</t>
  </si>
  <si>
    <t>77,510.00</t>
  </si>
  <si>
    <t>2,922,660.00</t>
  </si>
  <si>
    <t>132,050.00</t>
  </si>
  <si>
    <t>51,990.00</t>
  </si>
  <si>
    <t>3,523,400.00</t>
  </si>
  <si>
    <t>FACTURAS DE PAGO DE CODENSA DE ENERO A SEPTIEMBRE DEL AÑO 2020</t>
  </si>
  <si>
    <t>2490510200</t>
  </si>
  <si>
    <t>cuenta 2738879-2</t>
  </si>
  <si>
    <t>830037248</t>
  </si>
  <si>
    <t>CODENSA S.A. ESP</t>
  </si>
  <si>
    <t>5000001530</t>
  </si>
  <si>
    <t>cuenta contrato 3</t>
  </si>
  <si>
    <t>5000004147</t>
  </si>
  <si>
    <t>cuenta contrato 2</t>
  </si>
  <si>
    <t>5000004148</t>
  </si>
  <si>
    <t>5000004149</t>
  </si>
  <si>
    <t>cuenta contrato 1</t>
  </si>
  <si>
    <t>5000004150</t>
  </si>
  <si>
    <t>5000004151</t>
  </si>
  <si>
    <t>contrato 37687-3</t>
  </si>
  <si>
    <t>5000161530</t>
  </si>
  <si>
    <t>contrato 2738879-</t>
  </si>
  <si>
    <t>5000161531</t>
  </si>
  <si>
    <t>contrato 1676895-</t>
  </si>
  <si>
    <t>5000161532</t>
  </si>
  <si>
    <t>contrato 2061594-</t>
  </si>
  <si>
    <t>5000161533</t>
  </si>
  <si>
    <t>cuenta 2514894-2</t>
  </si>
  <si>
    <t>5000180529</t>
  </si>
  <si>
    <t>cuenta 37687-3</t>
  </si>
  <si>
    <t>5000374302</t>
  </si>
  <si>
    <t>5000374303</t>
  </si>
  <si>
    <t>cuenta 1676895-9</t>
  </si>
  <si>
    <t>5000374304</t>
  </si>
  <si>
    <t>cuenta 2061594-4</t>
  </si>
  <si>
    <t>5000374313</t>
  </si>
  <si>
    <t>5000450420</t>
  </si>
  <si>
    <t>FACTURAS DE PAGO DE OCTUBRE A DICIEMBRE DE 2020</t>
  </si>
  <si>
    <t>Facturación de fotocopiado DE OCTUBRE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</si>
</sst>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 #,##0;[Red]\-&quot;$&quot;\ #,##0"/>
    <numFmt numFmtId="42" formatCode="_-&quot;$&quot;\ * #,##0_-;\-&quot;$&quot;\ * #,##0_-;_-&quot;$&quot;\ * &quot;-&quot;_-;_-@_-"/>
    <numFmt numFmtId="43" formatCode="_-* #,##0.00_-;\-* #,##0.00_-;_-* &quot;-&quot;??_-;_-@_-"/>
    <numFmt numFmtId="164" formatCode="&quot;$&quot;\ #,##0"/>
    <numFmt numFmtId="165" formatCode="_(&quot;$&quot;* #,##0.00_);_(&quot;$&quot;* \(#,##0.00\);_(&quot;$&quot;* &quot;-&quot;??_);_(@_)"/>
    <numFmt numFmtId="166" formatCode="_(&quot;$&quot;* #,##0_);_(&quot;$&quot;* \(#,##0\);_(&quot;$&quot;* &quot;-&quot;_);_(@_)"/>
    <numFmt numFmtId="167" formatCode="_(* #,##0.00_);_(* \(#,##0.00\);_(* &quot;-&quot;??_);_(@_)"/>
    <numFmt numFmtId="168" formatCode="yyyy\-mm\-dd;@"/>
    <numFmt numFmtId="169" formatCode="[$-10409]m/d/yyyy\ h:mm:ss\ AM/PM"/>
    <numFmt numFmtId="170" formatCode="[$-10409]&quot;$&quot;#,##0.00;\(&quot;$&quot;#,##0.00\)"/>
    <numFmt numFmtId="171" formatCode="_-* #,##0.00\ _€_-;\-* #,##0.00\ _€_-;_-* &quot;-&quot;??\ _€_-;_-@_-"/>
    <numFmt numFmtId="172" formatCode="0E+00"/>
    <numFmt numFmtId="173" formatCode="_-[$$-240A]\ * #,##0.00_-;\-[$$-240A]\ * #,##0.00_-;_-[$$-240A]\ * &quot;-&quot;??_-;_-@_-"/>
    <numFmt numFmtId="174" formatCode="_-* #,##0\ _€_-;\-* #,##0\ _€_-;_-* &quot;-&quot;??\ _€_-;_-@_-"/>
    <numFmt numFmtId="175" formatCode="_-&quot;$&quot;* #,##0_-;\-&quot;$&quot;* #,##0_-;_-&quot;$&quot;* &quot;-&quot;??_-;_-@_-"/>
    <numFmt numFmtId="176" formatCode="_-* #,##0_-;\-* #,##0_-;_-* &quot;-&quot;??_-;_-@_-"/>
    <numFmt numFmtId="177" formatCode="_-[$$-240A]\ * #,##0_ ;_-[$$-240A]\ * \-#,##0\ ;_-[$$-240A]\ * &quot;-&quot;??_ ;_-@_ "/>
    <numFmt numFmtId="178" formatCode="_(&quot;$&quot;* #,##0.00_);_(&quot;$&quot;* \(#,##0.00\);_(&quot;$&quot;* &quot;-&quot;_);_(@_)"/>
    <numFmt numFmtId="179" formatCode="[$-10409]&quot;G&quot;\ #,##0.000;\(#,##0.000\)"/>
    <numFmt numFmtId="180" formatCode="[$-10409]&quot;$&quot;#,##0;\(&quot;$&quot;#,##0\)"/>
  </numFmts>
  <fonts count="32">
    <font>
      <sz val="11"/>
      <color theme="1"/>
      <name val="Calibri"/>
      <family val="2"/>
      <scheme val="minor"/>
    </font>
    <font>
      <b/>
      <sz val="11"/>
      <color theme="1"/>
      <name val="Calibri"/>
      <family val="2"/>
      <scheme val="minor"/>
    </font>
    <font>
      <sz val="10"/>
      <name val="Arial"/>
      <family val="2"/>
    </font>
    <font>
      <u/>
      <sz val="10"/>
      <color indexed="12"/>
      <name val="Verdana"/>
      <family val="2"/>
    </font>
    <font>
      <b/>
      <sz val="11"/>
      <color indexed="8"/>
      <name val="Calibri"/>
      <family val="2"/>
    </font>
    <font>
      <sz val="11"/>
      <color indexed="8"/>
      <name val="Calibri"/>
      <family val="2"/>
      <scheme val="minor"/>
    </font>
    <font>
      <sz val="11"/>
      <color theme="1"/>
      <name val="Calibri"/>
      <family val="2"/>
      <scheme val="minor"/>
    </font>
    <font>
      <sz val="12"/>
      <color theme="1"/>
      <name val="Calibri"/>
      <family val="2"/>
      <scheme val="minor"/>
    </font>
    <font>
      <sz val="10"/>
      <color theme="1"/>
      <name val="Arial Narrow"/>
      <family val="2"/>
    </font>
    <font>
      <b/>
      <sz val="10"/>
      <name val="Arial"/>
      <family val="2"/>
    </font>
    <font>
      <b/>
      <sz val="11"/>
      <color theme="0"/>
      <name val="Calibri"/>
      <family val="2"/>
      <scheme val="minor"/>
    </font>
    <font>
      <i/>
      <sz val="11"/>
      <color theme="1"/>
      <name val="Calibri"/>
      <family val="2"/>
      <scheme val="minor"/>
    </font>
    <font>
      <sz val="10"/>
      <color indexed="8"/>
      <name val="Century Gothic"/>
      <charset val="1"/>
    </font>
    <font>
      <b/>
      <sz val="12"/>
      <color theme="1"/>
      <name val="Calibri"/>
      <family val="2"/>
      <scheme val="minor"/>
    </font>
    <font>
      <b/>
      <i/>
      <sz val="12"/>
      <name val="Arial Unicode MS"/>
      <family val="2"/>
    </font>
    <font>
      <sz val="12"/>
      <color rgb="FFFF0000"/>
      <name val="Calibri"/>
      <family val="2"/>
      <scheme val="minor"/>
    </font>
    <font>
      <sz val="12"/>
      <name val="Arial Unicode MS"/>
      <family val="2"/>
    </font>
    <font>
      <sz val="12"/>
      <name val="Arial Unicode MS"/>
    </font>
    <font>
      <i/>
      <sz val="12"/>
      <name val="Arial Unicode MS"/>
    </font>
    <font>
      <b/>
      <sz val="12"/>
      <name val="Arial Unicode MS"/>
      <family val="2"/>
    </font>
    <font>
      <b/>
      <sz val="12"/>
      <name val="Arial Unicode MS"/>
    </font>
    <font>
      <b/>
      <i/>
      <sz val="12"/>
      <name val="Arial Unicode MS"/>
    </font>
    <font>
      <sz val="11"/>
      <color rgb="FF000000"/>
      <name val="Calibri"/>
      <family val="2"/>
    </font>
    <font>
      <b/>
      <sz val="11"/>
      <color rgb="FF000000"/>
      <name val="Calibri"/>
      <family val="2"/>
    </font>
    <font>
      <i/>
      <sz val="11"/>
      <color rgb="FF000000"/>
      <name val="Calibri"/>
      <family val="2"/>
    </font>
    <font>
      <sz val="11"/>
      <color rgb="FFFF0000"/>
      <name val="Calibri"/>
      <family val="2"/>
    </font>
    <font>
      <sz val="11"/>
      <name val="Calibri"/>
      <family val="2"/>
    </font>
    <font>
      <sz val="11"/>
      <color rgb="FF0070C0"/>
      <name val="Calibri"/>
      <family val="2"/>
    </font>
    <font>
      <b/>
      <sz val="9"/>
      <color indexed="8"/>
      <name val="Century Gothic"/>
      <family val="2"/>
    </font>
    <font>
      <sz val="9"/>
      <color indexed="8"/>
      <name val="Century Gothic"/>
      <family val="2"/>
    </font>
    <font>
      <sz val="10"/>
      <name val="Century Gothic"/>
      <family val="2"/>
    </font>
    <font>
      <b/>
      <sz val="10"/>
      <color theme="1"/>
      <name val="Century Gothic"/>
      <family val="2"/>
    </font>
  </fonts>
  <fills count="17">
    <fill>
      <patternFill patternType="none"/>
    </fill>
    <fill>
      <patternFill patternType="gray125"/>
    </fill>
    <fill>
      <patternFill patternType="solid">
        <fgColor theme="0"/>
        <bgColor indexed="64"/>
      </patternFill>
    </fill>
    <fill>
      <patternFill patternType="solid">
        <fgColor indexed="9"/>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8" tint="-0.249977111117893"/>
        <bgColor indexed="64"/>
      </patternFill>
    </fill>
    <fill>
      <patternFill patternType="solid">
        <fgColor rgb="FFD9E1F2"/>
        <bgColor rgb="FF000000"/>
      </patternFill>
    </fill>
    <fill>
      <patternFill patternType="solid">
        <fgColor rgb="FFFFFFFF"/>
        <bgColor rgb="FF000000"/>
      </patternFill>
    </fill>
    <fill>
      <patternFill patternType="solid">
        <fgColor rgb="FF92D050"/>
        <bgColor rgb="FF000000"/>
      </patternFill>
    </fill>
    <fill>
      <patternFill patternType="solid">
        <fgColor rgb="FFDDEBF7"/>
        <bgColor rgb="FF000000"/>
      </patternFill>
    </fill>
    <fill>
      <patternFill patternType="solid">
        <fgColor rgb="FFA9D08E"/>
        <bgColor rgb="FF000000"/>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style="thin">
        <color indexed="10"/>
      </left>
      <right style="thin">
        <color indexed="10"/>
      </right>
      <top/>
      <bottom/>
      <diagonal/>
    </border>
    <border>
      <left style="thin">
        <color indexed="10"/>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64"/>
      </bottom>
      <diagonal/>
    </border>
    <border>
      <left/>
      <right/>
      <top style="thin">
        <color indexed="64"/>
      </top>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bottom/>
      <diagonal/>
    </border>
    <border>
      <left style="thin">
        <color indexed="64"/>
      </left>
      <right/>
      <top/>
      <bottom/>
      <diagonal/>
    </border>
    <border>
      <left/>
      <right style="thin">
        <color indexed="10"/>
      </right>
      <top/>
      <bottom style="thin">
        <color indexed="10"/>
      </bottom>
      <diagonal/>
    </border>
    <border>
      <left/>
      <right style="thin">
        <color indexed="10"/>
      </right>
      <top style="thin">
        <color indexed="10"/>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right/>
      <top style="thin">
        <color indexed="64"/>
      </top>
      <bottom style="medium">
        <color indexed="64"/>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10"/>
      </left>
      <right/>
      <top style="thin">
        <color indexed="10"/>
      </top>
      <bottom/>
      <diagonal/>
    </border>
  </borders>
  <cellStyleXfs count="10">
    <xf numFmtId="0" fontId="0" fillId="0" borderId="0"/>
    <xf numFmtId="0" fontId="2" fillId="0" borderId="0"/>
    <xf numFmtId="165"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xf numFmtId="171" fontId="6" fillId="0" borderId="0" applyFont="0" applyFill="0" applyBorder="0" applyAlignment="0" applyProtection="0"/>
    <xf numFmtId="0" fontId="7" fillId="0" borderId="0"/>
    <xf numFmtId="42" fontId="6" fillId="0" borderId="0" applyFont="0" applyFill="0" applyBorder="0" applyAlignment="0" applyProtection="0"/>
  </cellStyleXfs>
  <cellXfs count="367">
    <xf numFmtId="0" fontId="0" fillId="0" borderId="0" xfId="0"/>
    <xf numFmtId="0" fontId="0" fillId="0" borderId="1" xfId="0" applyBorder="1"/>
    <xf numFmtId="0" fontId="0" fillId="0" borderId="10" xfId="0" applyBorder="1"/>
    <xf numFmtId="164" fontId="0" fillId="0" borderId="1" xfId="0" applyNumberFormat="1" applyBorder="1"/>
    <xf numFmtId="164" fontId="0" fillId="0" borderId="8" xfId="0" applyNumberFormat="1"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1" fillId="0" borderId="7" xfId="0" applyFont="1" applyBorder="1" applyAlignment="1">
      <alignment horizontal="center" vertical="center"/>
    </xf>
    <xf numFmtId="0" fontId="1" fillId="0" borderId="1" xfId="0" applyFont="1" applyBorder="1"/>
    <xf numFmtId="0" fontId="0" fillId="0" borderId="12" xfId="0" applyBorder="1" applyAlignment="1">
      <alignment horizontal="center" vertical="center"/>
    </xf>
    <xf numFmtId="0" fontId="0" fillId="0" borderId="13" xfId="0" applyBorder="1"/>
    <xf numFmtId="164" fontId="0" fillId="0" borderId="13" xfId="0" applyNumberFormat="1" applyBorder="1"/>
    <xf numFmtId="164" fontId="0" fillId="0" borderId="14" xfId="0" applyNumberFormat="1" applyBorder="1"/>
    <xf numFmtId="0" fontId="2" fillId="0" borderId="0" xfId="1"/>
    <xf numFmtId="0" fontId="0" fillId="3" borderId="3" xfId="0" applyFill="1" applyBorder="1" applyAlignment="1" applyProtection="1">
      <alignment vertical="center"/>
      <protection locked="0"/>
    </xf>
    <xf numFmtId="0" fontId="1" fillId="0" borderId="0" xfId="0" applyFont="1"/>
    <xf numFmtId="0" fontId="1" fillId="0" borderId="0" xfId="0" applyFont="1" applyAlignment="1">
      <alignment horizontal="center" vertical="center"/>
    </xf>
    <xf numFmtId="0" fontId="0" fillId="0" borderId="0" xfId="0" applyFill="1" applyBorder="1" applyAlignment="1">
      <alignment horizontal="center" vertical="center"/>
    </xf>
    <xf numFmtId="0" fontId="0" fillId="3" borderId="17" xfId="0" applyFill="1" applyBorder="1" applyAlignment="1" applyProtection="1">
      <alignment vertical="center"/>
      <protection locked="0"/>
    </xf>
    <xf numFmtId="0" fontId="4" fillId="0" borderId="2" xfId="0" applyFont="1" applyFill="1" applyBorder="1" applyAlignment="1">
      <alignment vertical="center"/>
    </xf>
    <xf numFmtId="0" fontId="1" fillId="0" borderId="3" xfId="0" applyFont="1" applyBorder="1"/>
    <xf numFmtId="0" fontId="1" fillId="0" borderId="0" xfId="0" applyFont="1" applyBorder="1" applyAlignment="1">
      <alignment horizontal="center" vertical="center"/>
    </xf>
    <xf numFmtId="164" fontId="0" fillId="0" borderId="0" xfId="0" applyNumberFormat="1"/>
    <xf numFmtId="0" fontId="1" fillId="0" borderId="1" xfId="0" applyFont="1" applyBorder="1" applyAlignment="1">
      <alignment horizontal="center" vertical="center"/>
    </xf>
    <xf numFmtId="164" fontId="1" fillId="0" borderId="1" xfId="0" applyNumberFormat="1" applyFont="1" applyFill="1" applyBorder="1" applyAlignment="1">
      <alignment horizontal="center" vertical="center"/>
    </xf>
    <xf numFmtId="168"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1" fillId="0" borderId="0" xfId="0" applyNumberFormat="1" applyFont="1"/>
    <xf numFmtId="0" fontId="0" fillId="3" borderId="0" xfId="0" applyFill="1" applyBorder="1" applyAlignment="1" applyProtection="1">
      <alignment vertical="center"/>
      <protection locked="0"/>
    </xf>
    <xf numFmtId="0" fontId="0" fillId="0" borderId="18" xfId="0" applyBorder="1" applyAlignment="1">
      <alignment horizontal="center" vertical="center"/>
    </xf>
    <xf numFmtId="0" fontId="1" fillId="0" borderId="18" xfId="0" applyFont="1" applyBorder="1" applyAlignment="1">
      <alignment horizontal="center" vertical="center"/>
    </xf>
    <xf numFmtId="171" fontId="0" fillId="0" borderId="0" xfId="7" applyFont="1"/>
    <xf numFmtId="1" fontId="0" fillId="0" borderId="0" xfId="7" applyNumberFormat="1" applyFont="1"/>
    <xf numFmtId="15" fontId="0" fillId="0" borderId="0" xfId="0" applyNumberFormat="1"/>
    <xf numFmtId="171" fontId="0" fillId="0" borderId="0" xfId="0" applyNumberFormat="1"/>
    <xf numFmtId="14" fontId="0" fillId="0" borderId="0" xfId="0" applyNumberFormat="1"/>
    <xf numFmtId="0" fontId="7" fillId="0" borderId="0" xfId="8"/>
    <xf numFmtId="0" fontId="1" fillId="0" borderId="18" xfId="0" applyFont="1" applyBorder="1" applyAlignment="1">
      <alignment horizontal="center" vertical="center"/>
    </xf>
    <xf numFmtId="0" fontId="0" fillId="3" borderId="1" xfId="0" applyFill="1" applyBorder="1" applyAlignment="1" applyProtection="1">
      <alignment vertical="center"/>
      <protection locked="0"/>
    </xf>
    <xf numFmtId="164" fontId="0" fillId="0" borderId="18" xfId="0" applyNumberFormat="1" applyBorder="1" applyAlignment="1">
      <alignment horizontal="center" vertical="center"/>
    </xf>
    <xf numFmtId="0" fontId="0" fillId="0" borderId="0" xfId="0" applyBorder="1"/>
    <xf numFmtId="0" fontId="1" fillId="0" borderId="0" xfId="0"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0" fontId="2" fillId="0" borderId="0" xfId="1" applyAlignment="1">
      <alignment horizontal="center" vertical="center"/>
    </xf>
    <xf numFmtId="164" fontId="0" fillId="0" borderId="0" xfId="0" applyNumberFormat="1" applyAlignment="1">
      <alignment horizontal="right"/>
    </xf>
    <xf numFmtId="43" fontId="8" fillId="4" borderId="1" xfId="4" applyNumberFormat="1" applyFont="1" applyFill="1" applyBorder="1" applyAlignment="1">
      <alignment horizontal="right" vertical="center" wrapText="1"/>
    </xf>
    <xf numFmtId="0" fontId="1" fillId="0" borderId="1"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0" borderId="27" xfId="0" applyBorder="1"/>
    <xf numFmtId="0" fontId="1" fillId="0" borderId="27" xfId="0" applyFont="1" applyBorder="1" applyAlignment="1">
      <alignment horizontal="center" vertical="center"/>
    </xf>
    <xf numFmtId="0" fontId="0" fillId="0" borderId="27" xfId="0" applyBorder="1" applyAlignment="1">
      <alignment horizontal="center" vertical="center"/>
    </xf>
    <xf numFmtId="164" fontId="0" fillId="0" borderId="27" xfId="0" applyNumberFormat="1" applyBorder="1" applyAlignment="1">
      <alignment horizontal="center" vertical="center" wrapText="1"/>
    </xf>
    <xf numFmtId="0" fontId="2" fillId="0" borderId="0" xfId="1" applyAlignment="1"/>
    <xf numFmtId="0" fontId="2" fillId="0" borderId="28" xfId="1" applyBorder="1" applyAlignment="1" applyProtection="1">
      <alignment vertical="top" wrapText="1"/>
      <protection locked="0"/>
    </xf>
    <xf numFmtId="0" fontId="2" fillId="0" borderId="29" xfId="1" applyBorder="1" applyAlignment="1" applyProtection="1">
      <alignment vertical="top" wrapText="1"/>
      <protection locked="0"/>
    </xf>
    <xf numFmtId="0" fontId="9" fillId="0" borderId="0" xfId="1" applyFont="1"/>
    <xf numFmtId="0" fontId="9" fillId="0" borderId="28" xfId="1" applyFont="1" applyBorder="1" applyAlignment="1" applyProtection="1">
      <alignment vertical="top" wrapText="1"/>
      <protection locked="0"/>
    </xf>
    <xf numFmtId="0" fontId="9" fillId="0" borderId="29" xfId="1" applyFont="1" applyBorder="1" applyAlignment="1" applyProtection="1">
      <alignment vertical="top" wrapText="1"/>
      <protection locked="0"/>
    </xf>
    <xf numFmtId="0" fontId="2" fillId="0" borderId="30" xfId="1" applyBorder="1" applyAlignment="1" applyProtection="1">
      <alignment vertical="top" wrapText="1"/>
      <protection locked="0"/>
    </xf>
    <xf numFmtId="0" fontId="2" fillId="0" borderId="31" xfId="1" applyBorder="1" applyAlignment="1" applyProtection="1">
      <alignment vertical="top" wrapText="1"/>
      <protection locked="0"/>
    </xf>
    <xf numFmtId="0" fontId="0" fillId="0" borderId="27" xfId="0" applyBorder="1" applyAlignment="1">
      <alignment wrapText="1"/>
    </xf>
    <xf numFmtId="0" fontId="7" fillId="0" borderId="0" xfId="8" applyAlignment="1">
      <alignment horizontal="center" vertical="center"/>
    </xf>
    <xf numFmtId="0" fontId="1" fillId="0" borderId="27" xfId="0" applyFont="1" applyFill="1" applyBorder="1" applyAlignment="1">
      <alignment horizontal="center" vertical="center"/>
    </xf>
    <xf numFmtId="0" fontId="0" fillId="0" borderId="27" xfId="0" applyFill="1" applyBorder="1" applyAlignment="1">
      <alignment horizontal="center" vertical="center"/>
    </xf>
    <xf numFmtId="0" fontId="1" fillId="0" borderId="23" xfId="0" applyFont="1" applyFill="1" applyBorder="1" applyAlignment="1">
      <alignment horizontal="center" vertical="center"/>
    </xf>
    <xf numFmtId="172" fontId="0" fillId="0" borderId="0" xfId="0" applyNumberFormat="1"/>
    <xf numFmtId="0" fontId="0" fillId="6" borderId="27" xfId="0" applyFill="1" applyBorder="1" applyAlignment="1">
      <alignment horizontal="center" vertical="center"/>
    </xf>
    <xf numFmtId="14" fontId="7" fillId="0" borderId="0" xfId="8" applyNumberFormat="1" applyAlignment="1">
      <alignment horizontal="center" vertical="center"/>
    </xf>
    <xf numFmtId="42" fontId="7" fillId="0" borderId="0" xfId="9" applyFont="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wrapText="1"/>
    </xf>
    <xf numFmtId="0" fontId="0" fillId="2" borderId="1" xfId="0" applyFill="1" applyBorder="1" applyAlignment="1" applyProtection="1">
      <alignment vertical="center"/>
      <protection locked="0"/>
    </xf>
    <xf numFmtId="42" fontId="0" fillId="2" borderId="27" xfId="9" applyFont="1" applyFill="1" applyBorder="1" applyAlignment="1">
      <alignment horizontal="center" vertical="center" wrapText="1"/>
    </xf>
    <xf numFmtId="0" fontId="0" fillId="2" borderId="27" xfId="0" applyFill="1" applyBorder="1" applyAlignment="1">
      <alignment horizontal="center" wrapText="1"/>
    </xf>
    <xf numFmtId="164" fontId="1" fillId="0" borderId="1" xfId="0" applyNumberFormat="1" applyFont="1" applyBorder="1" applyAlignment="1">
      <alignment horizontal="center" vertical="center"/>
    </xf>
    <xf numFmtId="0" fontId="0" fillId="2" borderId="0" xfId="0" applyFill="1" applyBorder="1" applyAlignment="1" applyProtection="1">
      <alignment vertical="center"/>
      <protection locked="0"/>
    </xf>
    <xf numFmtId="0" fontId="0" fillId="0" borderId="0" xfId="0" applyAlignment="1">
      <alignment wrapText="1"/>
    </xf>
    <xf numFmtId="0" fontId="1" fillId="0" borderId="27" xfId="0" applyFont="1" applyBorder="1" applyAlignment="1">
      <alignment horizontal="center" vertical="center" wrapText="1"/>
    </xf>
    <xf numFmtId="173" fontId="0" fillId="0" borderId="0" xfId="0" applyNumberFormat="1" applyAlignment="1">
      <alignment horizontal="center" vertical="center"/>
    </xf>
    <xf numFmtId="173" fontId="0" fillId="0" borderId="0" xfId="7" applyNumberFormat="1" applyFont="1" applyAlignment="1">
      <alignment horizontal="center" vertical="center"/>
    </xf>
    <xf numFmtId="0" fontId="1" fillId="0" borderId="0" xfId="0" applyFont="1" applyAlignment="1"/>
    <xf numFmtId="0" fontId="0" fillId="0" borderId="0" xfId="0" applyBorder="1" applyAlignment="1"/>
    <xf numFmtId="0" fontId="10" fillId="8" borderId="27" xfId="0" applyFont="1" applyFill="1" applyBorder="1" applyAlignment="1">
      <alignment horizontal="center" wrapText="1"/>
    </xf>
    <xf numFmtId="0" fontId="10" fillId="8" borderId="27" xfId="0" applyFont="1" applyFill="1" applyBorder="1" applyAlignment="1">
      <alignment horizontal="center"/>
    </xf>
    <xf numFmtId="0" fontId="10" fillId="8" borderId="27" xfId="0" applyFont="1" applyFill="1" applyBorder="1" applyAlignment="1">
      <alignment textRotation="90"/>
    </xf>
    <xf numFmtId="0" fontId="10" fillId="8" borderId="23" xfId="0" applyFont="1" applyFill="1" applyBorder="1" applyAlignment="1">
      <alignment horizontal="center"/>
    </xf>
    <xf numFmtId="0" fontId="1" fillId="0" borderId="27" xfId="0" applyFont="1" applyFill="1" applyBorder="1" applyAlignment="1">
      <alignment horizontal="center"/>
    </xf>
    <xf numFmtId="0" fontId="0" fillId="0" borderId="27" xfId="0" applyFill="1" applyBorder="1"/>
    <xf numFmtId="0" fontId="1" fillId="0" borderId="27" xfId="0" applyFont="1" applyBorder="1" applyAlignment="1">
      <alignment horizontal="center"/>
    </xf>
    <xf numFmtId="0" fontId="1" fillId="2" borderId="27" xfId="0" applyFont="1" applyFill="1" applyBorder="1" applyAlignment="1">
      <alignment horizontal="center" vertical="center" wrapText="1"/>
    </xf>
    <xf numFmtId="0" fontId="1" fillId="2" borderId="27" xfId="0" applyFont="1" applyFill="1" applyBorder="1" applyAlignment="1">
      <alignment horizontal="center"/>
    </xf>
    <xf numFmtId="0" fontId="0" fillId="2" borderId="27" xfId="0" applyFill="1" applyBorder="1"/>
    <xf numFmtId="0" fontId="0" fillId="4" borderId="27" xfId="0" applyFill="1" applyBorder="1"/>
    <xf numFmtId="0" fontId="1" fillId="4" borderId="27" xfId="0" applyFont="1" applyFill="1" applyBorder="1"/>
    <xf numFmtId="0" fontId="0" fillId="0" borderId="27" xfId="0" applyFont="1" applyBorder="1"/>
    <xf numFmtId="0" fontId="0" fillId="0" borderId="27" xfId="0" applyFont="1" applyFill="1" applyBorder="1"/>
    <xf numFmtId="0" fontId="0" fillId="0" borderId="27" xfId="0" applyFont="1" applyBorder="1" applyAlignment="1">
      <alignment horizontal="center"/>
    </xf>
    <xf numFmtId="169" fontId="12" fillId="0" borderId="34" xfId="0" applyNumberFormat="1" applyFont="1" applyBorder="1" applyAlignment="1" applyProtection="1">
      <alignment vertical="top" wrapText="1" readingOrder="1"/>
      <protection locked="0"/>
    </xf>
    <xf numFmtId="0" fontId="12" fillId="0" borderId="34" xfId="0" applyFont="1" applyBorder="1" applyAlignment="1" applyProtection="1">
      <alignment vertical="top" wrapText="1" readingOrder="1"/>
      <protection locked="0"/>
    </xf>
    <xf numFmtId="170" fontId="12" fillId="0" borderId="34" xfId="0" applyNumberFormat="1" applyFont="1" applyBorder="1" applyAlignment="1" applyProtection="1">
      <alignment vertical="top" wrapText="1" readingOrder="1"/>
      <protection locked="0"/>
    </xf>
    <xf numFmtId="0" fontId="0" fillId="0" borderId="27" xfId="0" applyBorder="1" applyAlignment="1">
      <alignment horizontal="center"/>
    </xf>
    <xf numFmtId="0" fontId="0" fillId="0" borderId="27" xfId="0" applyBorder="1" applyAlignment="1">
      <alignment horizontal="center" vertical="center" wrapText="1"/>
    </xf>
    <xf numFmtId="0" fontId="1" fillId="0" borderId="27" xfId="0" applyFont="1" applyBorder="1" applyAlignment="1">
      <alignment horizontal="center" vertical="center"/>
    </xf>
    <xf numFmtId="0" fontId="1" fillId="6" borderId="27" xfId="0" applyFont="1" applyFill="1" applyBorder="1" applyAlignment="1">
      <alignment horizontal="center" vertical="center"/>
    </xf>
    <xf numFmtId="0" fontId="0" fillId="0" borderId="0" xfId="0"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center"/>
    </xf>
    <xf numFmtId="0" fontId="1" fillId="0" borderId="27" xfId="0" applyFont="1" applyBorder="1" applyAlignment="1">
      <alignment horizontal="center" vertical="center"/>
    </xf>
    <xf numFmtId="0" fontId="0" fillId="0" borderId="0" xfId="0" applyAlignment="1">
      <alignment horizontal="center" vertical="center" wrapText="1"/>
    </xf>
    <xf numFmtId="0" fontId="0" fillId="2" borderId="27" xfId="0" applyFill="1" applyBorder="1" applyAlignment="1">
      <alignment horizontal="center"/>
    </xf>
    <xf numFmtId="164" fontId="0" fillId="0" borderId="27" xfId="0" applyNumberFormat="1" applyBorder="1" applyAlignment="1">
      <alignment horizontal="left" vertical="center"/>
    </xf>
    <xf numFmtId="6" fontId="0" fillId="2" borderId="27" xfId="0" applyNumberFormat="1" applyFill="1" applyBorder="1" applyAlignment="1">
      <alignment horizontal="left"/>
    </xf>
    <xf numFmtId="168" fontId="0" fillId="0" borderId="0" xfId="0" applyNumberFormat="1" applyBorder="1" applyAlignment="1">
      <alignment horizontal="center" vertical="center"/>
    </xf>
    <xf numFmtId="0" fontId="0" fillId="0" borderId="0" xfId="0" applyAlignment="1">
      <alignment vertical="center" wrapText="1"/>
    </xf>
    <xf numFmtId="0" fontId="1" fillId="0" borderId="27" xfId="0" applyFont="1" applyFill="1" applyBorder="1"/>
    <xf numFmtId="6" fontId="0" fillId="0" borderId="27" xfId="0" applyNumberFormat="1" applyBorder="1"/>
    <xf numFmtId="0" fontId="1" fillId="0" borderId="27" xfId="0" applyFont="1" applyBorder="1"/>
    <xf numFmtId="0" fontId="13" fillId="0" borderId="27" xfId="8" applyFont="1" applyBorder="1" applyAlignment="1">
      <alignment horizontal="center"/>
    </xf>
    <xf numFmtId="0" fontId="13" fillId="0" borderId="27" xfId="8" applyFont="1" applyBorder="1" applyAlignment="1">
      <alignment horizontal="center" wrapText="1"/>
    </xf>
    <xf numFmtId="0" fontId="7" fillId="0" borderId="27" xfId="8" applyBorder="1" applyAlignment="1">
      <alignment horizontal="center"/>
    </xf>
    <xf numFmtId="3" fontId="7" fillId="0" borderId="27" xfId="8" applyNumberFormat="1" applyBorder="1" applyAlignment="1">
      <alignment horizontal="center"/>
    </xf>
    <xf numFmtId="0" fontId="14" fillId="0" borderId="0" xfId="0" applyFont="1" applyFill="1" applyBorder="1" applyAlignment="1">
      <alignment horizontal="center"/>
    </xf>
    <xf numFmtId="175" fontId="14" fillId="0" borderId="0" xfId="2" applyNumberFormat="1" applyFont="1" applyBorder="1" applyAlignment="1">
      <alignment horizontal="right"/>
    </xf>
    <xf numFmtId="0" fontId="0" fillId="0" borderId="0" xfId="0" applyFont="1"/>
    <xf numFmtId="0" fontId="14" fillId="0" borderId="0" xfId="0" applyFont="1" applyAlignment="1"/>
    <xf numFmtId="0" fontId="7" fillId="0" borderId="0" xfId="0" applyFont="1" applyBorder="1"/>
    <xf numFmtId="0" fontId="7" fillId="0" borderId="0" xfId="0" applyFont="1"/>
    <xf numFmtId="0" fontId="14" fillId="0" borderId="27" xfId="0" applyFont="1" applyBorder="1" applyAlignment="1">
      <alignment horizontal="center"/>
    </xf>
    <xf numFmtId="0" fontId="14" fillId="0" borderId="27" xfId="0" applyFont="1" applyFill="1" applyBorder="1" applyAlignment="1">
      <alignment horizontal="center"/>
    </xf>
    <xf numFmtId="0" fontId="14" fillId="0" borderId="27" xfId="0" applyFont="1" applyFill="1" applyBorder="1" applyAlignment="1">
      <alignment horizontal="center" wrapText="1"/>
    </xf>
    <xf numFmtId="0" fontId="15" fillId="0" borderId="0" xfId="0" applyFont="1" applyBorder="1"/>
    <xf numFmtId="0" fontId="16" fillId="0" borderId="27" xfId="0" applyFont="1" applyBorder="1" applyAlignment="1">
      <alignment horizontal="center"/>
    </xf>
    <xf numFmtId="0" fontId="16" fillId="0" borderId="27" xfId="0" applyFont="1" applyFill="1" applyBorder="1" applyAlignment="1">
      <alignment horizontal="center"/>
    </xf>
    <xf numFmtId="0" fontId="16" fillId="0" borderId="27" xfId="0" applyFont="1" applyFill="1" applyBorder="1" applyAlignment="1">
      <alignment horizontal="center" wrapText="1"/>
    </xf>
    <xf numFmtId="174" fontId="16" fillId="0" borderId="27" xfId="4" applyNumberFormat="1" applyFont="1" applyBorder="1" applyAlignment="1">
      <alignment horizontal="center"/>
    </xf>
    <xf numFmtId="0" fontId="16" fillId="0" borderId="0" xfId="0" applyFont="1" applyBorder="1" applyAlignment="1">
      <alignment horizontal="right"/>
    </xf>
    <xf numFmtId="0" fontId="16" fillId="0" borderId="0" xfId="0" applyFont="1" applyFill="1" applyBorder="1" applyAlignment="1">
      <alignment horizontal="right"/>
    </xf>
    <xf numFmtId="0" fontId="14" fillId="0" borderId="0" xfId="0" applyFont="1" applyFill="1" applyBorder="1" applyAlignment="1">
      <alignment horizontal="right"/>
    </xf>
    <xf numFmtId="175" fontId="14" fillId="5" borderId="46" xfId="2" applyNumberFormat="1" applyFont="1" applyFill="1" applyBorder="1" applyAlignment="1">
      <alignment horizontal="right"/>
    </xf>
    <xf numFmtId="0" fontId="17" fillId="0" borderId="27" xfId="0" applyFont="1" applyBorder="1" applyAlignment="1">
      <alignment horizontal="right"/>
    </xf>
    <xf numFmtId="0" fontId="17" fillId="0" borderId="27" xfId="0" applyFont="1" applyFill="1" applyBorder="1" applyAlignment="1">
      <alignment horizontal="right"/>
    </xf>
    <xf numFmtId="0" fontId="18" fillId="0" borderId="27" xfId="0" applyFont="1" applyFill="1" applyBorder="1" applyAlignment="1">
      <alignment horizontal="right"/>
    </xf>
    <xf numFmtId="175" fontId="18" fillId="0" borderId="27" xfId="2" applyNumberFormat="1" applyFont="1" applyBorder="1" applyAlignment="1">
      <alignment horizontal="right"/>
    </xf>
    <xf numFmtId="0" fontId="18" fillId="0" borderId="27" xfId="0" applyFont="1" applyFill="1" applyBorder="1" applyAlignment="1">
      <alignment horizontal="center" vertical="center" wrapText="1"/>
    </xf>
    <xf numFmtId="0" fontId="18" fillId="0" borderId="27" xfId="0" applyFont="1" applyFill="1" applyBorder="1" applyAlignment="1">
      <alignment horizontal="center"/>
    </xf>
    <xf numFmtId="0" fontId="17" fillId="0" borderId="27" xfId="0" applyFont="1" applyFill="1" applyBorder="1" applyAlignment="1">
      <alignment horizontal="center"/>
    </xf>
    <xf numFmtId="175" fontId="18" fillId="5" borderId="27" xfId="2" applyNumberFormat="1" applyFont="1" applyFill="1" applyBorder="1" applyAlignment="1">
      <alignment horizontal="right"/>
    </xf>
    <xf numFmtId="0" fontId="16" fillId="0" borderId="0" xfId="0" applyFont="1" applyFill="1" applyBorder="1" applyAlignment="1">
      <alignment horizontal="center"/>
    </xf>
    <xf numFmtId="0" fontId="14" fillId="0" borderId="32" xfId="0" applyFont="1" applyBorder="1" applyAlignment="1"/>
    <xf numFmtId="0" fontId="16" fillId="0" borderId="27" xfId="0" applyFont="1" applyFill="1" applyBorder="1" applyAlignment="1">
      <alignment horizontal="center" vertical="center" wrapText="1"/>
    </xf>
    <xf numFmtId="0" fontId="16" fillId="0" borderId="0" xfId="0" applyFont="1" applyBorder="1" applyAlignment="1"/>
    <xf numFmtId="177" fontId="14" fillId="5" borderId="0" xfId="0" applyNumberFormat="1" applyFont="1" applyFill="1" applyBorder="1" applyAlignment="1"/>
    <xf numFmtId="177" fontId="19" fillId="0" borderId="0" xfId="0" applyNumberFormat="1" applyFont="1" applyBorder="1" applyAlignment="1"/>
    <xf numFmtId="0" fontId="16" fillId="0" borderId="0" xfId="0" applyFont="1" applyBorder="1" applyAlignment="1">
      <alignment horizontal="center"/>
    </xf>
    <xf numFmtId="0" fontId="17" fillId="0" borderId="27" xfId="0" applyFont="1" applyBorder="1" applyAlignment="1">
      <alignment horizontal="center"/>
    </xf>
    <xf numFmtId="0" fontId="17" fillId="0" borderId="27" xfId="0" applyFont="1" applyFill="1" applyBorder="1" applyAlignment="1">
      <alignment horizontal="right" wrapText="1"/>
    </xf>
    <xf numFmtId="175" fontId="17" fillId="0" borderId="27" xfId="2" applyNumberFormat="1" applyFont="1" applyBorder="1" applyAlignment="1">
      <alignment horizontal="right"/>
    </xf>
    <xf numFmtId="0" fontId="17" fillId="0" borderId="27" xfId="0" applyFont="1" applyFill="1" applyBorder="1" applyAlignment="1">
      <alignment horizontal="center" wrapText="1"/>
    </xf>
    <xf numFmtId="0" fontId="20" fillId="0" borderId="0" xfId="0" applyFont="1" applyFill="1" applyBorder="1" applyAlignment="1">
      <alignment horizontal="center"/>
    </xf>
    <xf numFmtId="175" fontId="21" fillId="5" borderId="47" xfId="2" applyNumberFormat="1" applyFont="1" applyFill="1" applyBorder="1" applyAlignment="1">
      <alignment horizontal="right"/>
    </xf>
    <xf numFmtId="0" fontId="17" fillId="0" borderId="0" xfId="0" applyFont="1" applyFill="1" applyBorder="1" applyAlignment="1">
      <alignment horizontal="center"/>
    </xf>
    <xf numFmtId="175" fontId="17" fillId="0" borderId="0" xfId="2" applyNumberFormat="1" applyFont="1" applyBorder="1" applyAlignment="1">
      <alignment horizontal="right"/>
    </xf>
    <xf numFmtId="0" fontId="21" fillId="0" borderId="0" xfId="0" applyFont="1" applyFill="1" applyBorder="1" applyAlignment="1">
      <alignment horizontal="center"/>
    </xf>
    <xf numFmtId="175" fontId="20" fillId="0" borderId="0" xfId="0" applyNumberFormat="1" applyFont="1" applyFill="1" applyBorder="1" applyAlignment="1"/>
    <xf numFmtId="175" fontId="20" fillId="0" borderId="0" xfId="2" applyNumberFormat="1" applyFont="1" applyBorder="1" applyAlignment="1">
      <alignment horizontal="right"/>
    </xf>
    <xf numFmtId="0" fontId="1" fillId="7" borderId="27" xfId="0" applyFont="1" applyFill="1" applyBorder="1" applyAlignment="1">
      <alignment horizontal="center"/>
    </xf>
    <xf numFmtId="14" fontId="0" fillId="0" borderId="27" xfId="0" applyNumberFormat="1" applyFont="1" applyBorder="1" applyAlignment="1">
      <alignment horizontal="center"/>
    </xf>
    <xf numFmtId="0" fontId="0" fillId="0" borderId="27" xfId="0" applyFont="1" applyBorder="1" applyAlignment="1">
      <alignment horizontal="center" wrapText="1"/>
    </xf>
    <xf numFmtId="14" fontId="0" fillId="2" borderId="27" xfId="0" applyNumberFormat="1" applyFont="1" applyFill="1" applyBorder="1" applyAlignment="1">
      <alignment horizontal="center"/>
    </xf>
    <xf numFmtId="14" fontId="0" fillId="0" borderId="49" xfId="0" applyNumberFormat="1" applyBorder="1"/>
    <xf numFmtId="0" fontId="0" fillId="0" borderId="49" xfId="0" applyBorder="1"/>
    <xf numFmtId="0" fontId="0" fillId="0" borderId="15" xfId="0" applyBorder="1"/>
    <xf numFmtId="0" fontId="22" fillId="10" borderId="0" xfId="0" applyFont="1" applyFill="1" applyAlignment="1"/>
    <xf numFmtId="0" fontId="23" fillId="10" borderId="0" xfId="0" applyFont="1" applyFill="1" applyAlignment="1"/>
    <xf numFmtId="0" fontId="22" fillId="0" borderId="0" xfId="0" applyFont="1" applyAlignment="1"/>
    <xf numFmtId="0" fontId="23" fillId="0" borderId="0" xfId="0" applyFont="1" applyAlignment="1"/>
    <xf numFmtId="0" fontId="23" fillId="13" borderId="25" xfId="0" applyFont="1" applyFill="1" applyBorder="1" applyAlignment="1"/>
    <xf numFmtId="0" fontId="23" fillId="13" borderId="25" xfId="0" applyFont="1" applyFill="1" applyBorder="1" applyAlignment="1">
      <alignment wrapText="1"/>
    </xf>
    <xf numFmtId="0" fontId="0" fillId="13" borderId="15" xfId="0" applyFill="1" applyBorder="1"/>
    <xf numFmtId="0" fontId="23" fillId="13" borderId="15" xfId="0" applyFont="1" applyFill="1" applyBorder="1"/>
    <xf numFmtId="0" fontId="23" fillId="13" borderId="15" xfId="0" applyFont="1" applyFill="1" applyBorder="1" applyAlignment="1">
      <alignment wrapText="1"/>
    </xf>
    <xf numFmtId="0" fontId="23" fillId="13" borderId="27" xfId="0" applyFont="1" applyFill="1" applyBorder="1" applyAlignment="1"/>
    <xf numFmtId="0" fontId="23" fillId="13" borderId="27" xfId="0" applyFont="1" applyFill="1" applyBorder="1" applyAlignment="1">
      <alignment wrapText="1"/>
    </xf>
    <xf numFmtId="0" fontId="23" fillId="13" borderId="2" xfId="0" applyFont="1" applyFill="1" applyBorder="1" applyAlignment="1">
      <alignment wrapText="1"/>
    </xf>
    <xf numFmtId="0" fontId="23" fillId="13" borderId="24" xfId="0" applyFont="1" applyFill="1" applyBorder="1" applyAlignment="1">
      <alignment wrapText="1"/>
    </xf>
    <xf numFmtId="0" fontId="23" fillId="9" borderId="27" xfId="0" applyFont="1" applyFill="1" applyBorder="1" applyAlignment="1"/>
    <xf numFmtId="0" fontId="22" fillId="0" borderId="27" xfId="0" applyFont="1" applyBorder="1" applyAlignment="1"/>
    <xf numFmtId="14" fontId="22" fillId="0" borderId="27" xfId="0" applyNumberFormat="1" applyFont="1" applyBorder="1" applyAlignment="1"/>
    <xf numFmtId="0" fontId="24" fillId="10" borderId="27" xfId="0" applyFont="1" applyFill="1" applyBorder="1" applyAlignment="1"/>
    <xf numFmtId="0" fontId="22" fillId="0" borderId="27" xfId="0" applyFont="1" applyBorder="1" applyAlignment="1">
      <alignment wrapText="1"/>
    </xf>
    <xf numFmtId="0" fontId="25" fillId="0" borderId="27" xfId="0" applyFont="1" applyBorder="1" applyAlignment="1"/>
    <xf numFmtId="0" fontId="24" fillId="0" borderId="27" xfId="0" applyFont="1" applyBorder="1" applyAlignment="1"/>
    <xf numFmtId="0" fontId="26" fillId="0" borderId="27" xfId="0" applyFont="1" applyBorder="1" applyAlignment="1"/>
    <xf numFmtId="0" fontId="22" fillId="0" borderId="0" xfId="0" applyFont="1" applyBorder="1" applyAlignment="1"/>
    <xf numFmtId="0" fontId="0" fillId="0" borderId="48" xfId="0" applyBorder="1"/>
    <xf numFmtId="0" fontId="22" fillId="0" borderId="25" xfId="0" applyFont="1" applyBorder="1" applyAlignment="1"/>
    <xf numFmtId="0" fontId="24" fillId="0" borderId="25" xfId="0" applyFont="1" applyBorder="1" applyAlignment="1"/>
    <xf numFmtId="0" fontId="22" fillId="0" borderId="43" xfId="0" applyFont="1" applyBorder="1" applyAlignment="1">
      <alignment wrapText="1"/>
    </xf>
    <xf numFmtId="0" fontId="22" fillId="0" borderId="24" xfId="0" applyFont="1" applyBorder="1" applyAlignment="1"/>
    <xf numFmtId="0" fontId="22" fillId="0" borderId="15" xfId="0" applyFont="1" applyBorder="1" applyAlignment="1">
      <alignment wrapText="1"/>
    </xf>
    <xf numFmtId="14" fontId="22" fillId="0" borderId="15" xfId="0" applyNumberFormat="1" applyFont="1" applyBorder="1" applyAlignment="1"/>
    <xf numFmtId="0" fontId="22" fillId="0" borderId="15" xfId="0" applyFont="1" applyBorder="1" applyAlignment="1"/>
    <xf numFmtId="0" fontId="27" fillId="0" borderId="27" xfId="0" applyFont="1" applyBorder="1" applyAlignment="1"/>
    <xf numFmtId="0" fontId="22" fillId="11" borderId="0" xfId="0" applyFont="1" applyFill="1" applyAlignment="1"/>
    <xf numFmtId="6" fontId="1" fillId="0" borderId="0" xfId="0" applyNumberFormat="1" applyFont="1"/>
    <xf numFmtId="0" fontId="23" fillId="0" borderId="27" xfId="0" applyFont="1" applyBorder="1" applyAlignment="1"/>
    <xf numFmtId="0" fontId="0" fillId="0" borderId="23" xfId="0" applyFont="1" applyFill="1" applyBorder="1"/>
    <xf numFmtId="0" fontId="22" fillId="10" borderId="27" xfId="0" applyFont="1" applyFill="1" applyBorder="1" applyAlignment="1"/>
    <xf numFmtId="0" fontId="23" fillId="10" borderId="27" xfId="0" applyFont="1" applyFill="1" applyBorder="1" applyAlignment="1"/>
    <xf numFmtId="164" fontId="0" fillId="2" borderId="0" xfId="0" applyNumberFormat="1" applyFill="1"/>
    <xf numFmtId="0" fontId="1" fillId="2" borderId="27" xfId="0" applyFont="1" applyFill="1" applyBorder="1" applyAlignment="1">
      <alignment horizontal="center" vertical="center"/>
    </xf>
    <xf numFmtId="0" fontId="0" fillId="2" borderId="27" xfId="0" applyFill="1" applyBorder="1" applyAlignment="1">
      <alignment horizontal="center" vertical="center"/>
    </xf>
    <xf numFmtId="164" fontId="0" fillId="2" borderId="27" xfId="0" applyNumberFormat="1" applyFill="1" applyBorder="1" applyAlignment="1">
      <alignment horizontal="center" vertical="center" wrapText="1"/>
    </xf>
    <xf numFmtId="0" fontId="0" fillId="2" borderId="27" xfId="0" applyFill="1" applyBorder="1" applyAlignment="1">
      <alignment wrapText="1"/>
    </xf>
    <xf numFmtId="0" fontId="0" fillId="2" borderId="27" xfId="0" applyFill="1" applyBorder="1" applyAlignment="1">
      <alignment horizontal="center" vertical="center" wrapText="1"/>
    </xf>
    <xf numFmtId="0" fontId="0" fillId="2" borderId="27" xfId="0" applyFill="1" applyBorder="1" applyAlignment="1">
      <alignment horizontal="center" vertical="center" wrapText="1"/>
    </xf>
    <xf numFmtId="17" fontId="0" fillId="2" borderId="27" xfId="0" applyNumberFormat="1" applyFill="1" applyBorder="1" applyAlignment="1">
      <alignment horizontal="center" vertical="center"/>
    </xf>
    <xf numFmtId="0" fontId="28" fillId="0" borderId="50" xfId="0" applyFont="1" applyBorder="1" applyAlignment="1" applyProtection="1">
      <alignment vertical="top" wrapText="1" readingOrder="1"/>
      <protection locked="0"/>
    </xf>
    <xf numFmtId="0" fontId="29" fillId="0" borderId="37" xfId="0" applyFont="1" applyBorder="1" applyAlignment="1" applyProtection="1">
      <alignment vertical="top" readingOrder="1"/>
      <protection locked="0"/>
    </xf>
    <xf numFmtId="169" fontId="29" fillId="0" borderId="37" xfId="0" applyNumberFormat="1" applyFont="1" applyBorder="1" applyAlignment="1" applyProtection="1">
      <alignment vertical="top" readingOrder="1"/>
      <protection locked="0"/>
    </xf>
    <xf numFmtId="0" fontId="29" fillId="0" borderId="34" xfId="0" applyFont="1" applyBorder="1" applyAlignment="1" applyProtection="1">
      <alignment vertical="top" readingOrder="1"/>
      <protection locked="0"/>
    </xf>
    <xf numFmtId="179" fontId="29" fillId="0" borderId="37" xfId="0" applyNumberFormat="1" applyFont="1" applyBorder="1" applyAlignment="1" applyProtection="1">
      <alignment vertical="top" readingOrder="1"/>
      <protection locked="0"/>
    </xf>
    <xf numFmtId="180" fontId="29" fillId="0" borderId="37" xfId="0" applyNumberFormat="1" applyFont="1" applyBorder="1" applyAlignment="1" applyProtection="1">
      <alignment vertical="top" readingOrder="1"/>
      <protection locked="0"/>
    </xf>
    <xf numFmtId="178" fontId="29" fillId="0" borderId="34" xfId="3" applyNumberFormat="1" applyFont="1" applyBorder="1" applyAlignment="1" applyProtection="1">
      <alignment vertical="top" readingOrder="1"/>
      <protection locked="0"/>
    </xf>
    <xf numFmtId="180" fontId="29" fillId="0" borderId="34" xfId="0" applyNumberFormat="1" applyFont="1" applyBorder="1" applyAlignment="1" applyProtection="1">
      <alignment vertical="top" readingOrder="1"/>
      <protection locked="0"/>
    </xf>
    <xf numFmtId="0" fontId="30" fillId="0" borderId="22" xfId="0" applyFont="1" applyBorder="1" applyAlignment="1" applyProtection="1">
      <alignment vertical="top"/>
      <protection locked="0"/>
    </xf>
    <xf numFmtId="0" fontId="30" fillId="14" borderId="20" xfId="0" applyFont="1" applyFill="1" applyBorder="1" applyAlignment="1" applyProtection="1">
      <alignment vertical="top"/>
      <protection locked="0"/>
    </xf>
    <xf numFmtId="0" fontId="28" fillId="14" borderId="37" xfId="0" applyFont="1" applyFill="1" applyBorder="1" applyAlignment="1" applyProtection="1">
      <alignment vertical="top" readingOrder="1"/>
      <protection locked="0"/>
    </xf>
    <xf numFmtId="0" fontId="28" fillId="14" borderId="34" xfId="0" applyFont="1" applyFill="1" applyBorder="1" applyAlignment="1" applyProtection="1">
      <alignment vertical="top" readingOrder="1"/>
      <protection locked="0"/>
    </xf>
    <xf numFmtId="179" fontId="28" fillId="14" borderId="37" xfId="0" applyNumberFormat="1" applyFont="1" applyFill="1" applyBorder="1" applyAlignment="1" applyProtection="1">
      <alignment vertical="top" readingOrder="1"/>
      <protection locked="0"/>
    </xf>
    <xf numFmtId="180" fontId="28" fillId="14" borderId="37" xfId="0" applyNumberFormat="1" applyFont="1" applyFill="1" applyBorder="1" applyAlignment="1" applyProtection="1">
      <alignment vertical="top" readingOrder="1"/>
      <protection locked="0"/>
    </xf>
    <xf numFmtId="178" fontId="28" fillId="14" borderId="34" xfId="3" applyNumberFormat="1" applyFont="1" applyFill="1" applyBorder="1" applyAlignment="1" applyProtection="1">
      <alignment vertical="top" readingOrder="1"/>
      <protection locked="0"/>
    </xf>
    <xf numFmtId="180" fontId="28" fillId="14" borderId="34" xfId="0" applyNumberFormat="1" applyFont="1" applyFill="1" applyBorder="1" applyAlignment="1" applyProtection="1">
      <alignment vertical="top" readingOrder="1"/>
      <protection locked="0"/>
    </xf>
    <xf numFmtId="0" fontId="28" fillId="15" borderId="37" xfId="0" applyFont="1" applyFill="1" applyBorder="1" applyAlignment="1" applyProtection="1">
      <alignment vertical="top" readingOrder="1"/>
      <protection locked="0"/>
    </xf>
    <xf numFmtId="0" fontId="28" fillId="15" borderId="34" xfId="0" applyFont="1" applyFill="1" applyBorder="1" applyAlignment="1" applyProtection="1">
      <alignment vertical="top" readingOrder="1"/>
      <protection locked="0"/>
    </xf>
    <xf numFmtId="179" fontId="28" fillId="15" borderId="37" xfId="0" applyNumberFormat="1" applyFont="1" applyFill="1" applyBorder="1" applyAlignment="1" applyProtection="1">
      <alignment vertical="top" readingOrder="1"/>
      <protection locked="0"/>
    </xf>
    <xf numFmtId="180" fontId="28" fillId="15" borderId="37" xfId="0" applyNumberFormat="1" applyFont="1" applyFill="1" applyBorder="1" applyAlignment="1" applyProtection="1">
      <alignment vertical="top" readingOrder="1"/>
      <protection locked="0"/>
    </xf>
    <xf numFmtId="178" fontId="28" fillId="15" borderId="34" xfId="3" applyNumberFormat="1" applyFont="1" applyFill="1" applyBorder="1" applyAlignment="1" applyProtection="1">
      <alignment vertical="top" readingOrder="1"/>
      <protection locked="0"/>
    </xf>
    <xf numFmtId="180" fontId="28" fillId="15" borderId="34" xfId="0" applyNumberFormat="1" applyFont="1" applyFill="1" applyBorder="1" applyAlignment="1" applyProtection="1">
      <alignment vertical="top" readingOrder="1"/>
      <protection locked="0"/>
    </xf>
    <xf numFmtId="0" fontId="28" fillId="0" borderId="50" xfId="0" applyFont="1" applyBorder="1" applyAlignment="1" applyProtection="1">
      <alignment vertical="top" readingOrder="1"/>
      <protection locked="0"/>
    </xf>
    <xf numFmtId="0" fontId="0" fillId="0" borderId="22" xfId="0" applyBorder="1" applyAlignment="1" applyProtection="1">
      <alignment vertical="top"/>
      <protection locked="0"/>
    </xf>
    <xf numFmtId="0" fontId="0" fillId="14" borderId="20" xfId="0" applyFill="1" applyBorder="1" applyAlignment="1" applyProtection="1">
      <alignment vertical="top"/>
      <protection locked="0"/>
    </xf>
    <xf numFmtId="0" fontId="31" fillId="0" borderId="37" xfId="0" applyFont="1" applyBorder="1" applyAlignment="1" applyProtection="1">
      <alignment vertical="top" readingOrder="1"/>
      <protection locked="0"/>
    </xf>
    <xf numFmtId="0" fontId="31" fillId="0" borderId="34" xfId="0" applyFont="1" applyBorder="1" applyAlignment="1" applyProtection="1">
      <alignment vertical="top" readingOrder="1"/>
      <protection locked="0"/>
    </xf>
    <xf numFmtId="178" fontId="31" fillId="0" borderId="34" xfId="3" applyNumberFormat="1" applyFont="1" applyBorder="1" applyAlignment="1" applyProtection="1">
      <alignment vertical="top" readingOrder="1"/>
      <protection locked="0"/>
    </xf>
    <xf numFmtId="0" fontId="31" fillId="0" borderId="34" xfId="0" applyFont="1" applyBorder="1" applyAlignment="1" applyProtection="1">
      <alignment vertical="top" wrapText="1" readingOrder="1"/>
      <protection locked="0"/>
    </xf>
    <xf numFmtId="0" fontId="7" fillId="0" borderId="44" xfId="8" applyBorder="1" applyAlignment="1">
      <alignment vertical="center"/>
    </xf>
    <xf numFmtId="0" fontId="7" fillId="0" borderId="0" xfId="8" applyBorder="1" applyAlignment="1">
      <alignment vertical="center"/>
    </xf>
    <xf numFmtId="14" fontId="7" fillId="0" borderId="0" xfId="8" applyNumberFormat="1" applyBorder="1" applyAlignment="1">
      <alignment horizontal="center" vertical="center"/>
    </xf>
    <xf numFmtId="0" fontId="0" fillId="2" borderId="2" xfId="0" applyFill="1" applyBorder="1" applyAlignment="1" applyProtection="1">
      <alignment horizontal="center" vertical="center" wrapText="1"/>
      <protection locked="0"/>
    </xf>
    <xf numFmtId="0" fontId="0" fillId="2" borderId="2" xfId="0" applyFill="1" applyBorder="1" applyAlignment="1" applyProtection="1">
      <alignment vertical="center"/>
      <protection locked="0"/>
    </xf>
    <xf numFmtId="42" fontId="0" fillId="2" borderId="24" xfId="9" applyFont="1" applyFill="1" applyBorder="1" applyAlignment="1">
      <alignment horizontal="center" vertical="center" wrapText="1"/>
    </xf>
    <xf numFmtId="164" fontId="0" fillId="6" borderId="27" xfId="0" applyNumberFormat="1" applyFill="1" applyBorder="1" applyAlignment="1">
      <alignment horizontal="center" vertical="center"/>
    </xf>
    <xf numFmtId="0" fontId="0" fillId="7" borderId="27" xfId="0" applyFill="1" applyBorder="1" applyAlignment="1">
      <alignment horizontal="center" vertical="center"/>
    </xf>
    <xf numFmtId="0" fontId="0" fillId="6" borderId="27" xfId="0" applyFill="1" applyBorder="1" applyAlignment="1" applyProtection="1">
      <alignment horizontal="center" vertical="center"/>
      <protection locked="0"/>
    </xf>
    <xf numFmtId="15" fontId="0" fillId="0" borderId="27" xfId="0" applyNumberFormat="1" applyBorder="1" applyAlignment="1">
      <alignment horizontal="center" vertical="center"/>
    </xf>
    <xf numFmtId="0" fontId="0" fillId="0" borderId="27" xfId="0" applyBorder="1" applyAlignment="1">
      <alignment vertical="center" wrapText="1"/>
    </xf>
    <xf numFmtId="15" fontId="0" fillId="0" borderId="0" xfId="0" applyNumberFormat="1" applyBorder="1" applyAlignment="1">
      <alignment horizontal="center" vertical="center"/>
    </xf>
    <xf numFmtId="0" fontId="0" fillId="2" borderId="0" xfId="0" applyFill="1"/>
    <xf numFmtId="0" fontId="0" fillId="0" borderId="27" xfId="0" applyBorder="1" applyAlignment="1">
      <alignment vertical="top"/>
    </xf>
    <xf numFmtId="14" fontId="0" fillId="0" borderId="27" xfId="0" applyNumberFormat="1" applyBorder="1" applyAlignment="1">
      <alignment horizontal="right" vertical="top"/>
    </xf>
    <xf numFmtId="3" fontId="0" fillId="0" borderId="27" xfId="0" applyNumberFormat="1" applyBorder="1" applyAlignment="1">
      <alignment horizontal="right" vertical="top"/>
    </xf>
    <xf numFmtId="14" fontId="0" fillId="0" borderId="27" xfId="0" applyNumberFormat="1" applyBorder="1" applyAlignment="1">
      <alignment horizontal="center" vertical="center"/>
    </xf>
    <xf numFmtId="3" fontId="0" fillId="0" borderId="27" xfId="0" applyNumberFormat="1" applyBorder="1" applyAlignment="1">
      <alignment horizontal="center" vertical="center"/>
    </xf>
    <xf numFmtId="15" fontId="0" fillId="0" borderId="27" xfId="0" applyNumberFormat="1" applyBorder="1" applyAlignment="1">
      <alignment horizontal="center"/>
    </xf>
    <xf numFmtId="0" fontId="1" fillId="2" borderId="27" xfId="0" applyFont="1" applyFill="1" applyBorder="1" applyAlignment="1">
      <alignment vertical="top"/>
    </xf>
    <xf numFmtId="0" fontId="1" fillId="2" borderId="27" xfId="0" applyFont="1" applyFill="1" applyBorder="1" applyAlignment="1">
      <alignment vertical="top" wrapText="1"/>
    </xf>
    <xf numFmtId="1" fontId="0" fillId="0" borderId="0" xfId="0" applyNumberFormat="1"/>
    <xf numFmtId="0" fontId="0" fillId="0" borderId="0" xfId="0" applyBorder="1" applyAlignment="1">
      <alignment horizontal="center" vertical="center" wrapText="1"/>
    </xf>
    <xf numFmtId="0" fontId="0" fillId="0" borderId="0" xfId="0" applyBorder="1" applyAlignment="1">
      <alignment vertical="center" wrapText="1"/>
    </xf>
    <xf numFmtId="0" fontId="20" fillId="0" borderId="0" xfId="0" applyFont="1" applyFill="1" applyBorder="1" applyAlignment="1">
      <alignment horizontal="center"/>
    </xf>
    <xf numFmtId="0" fontId="20" fillId="0" borderId="33" xfId="0" applyFont="1" applyFill="1" applyBorder="1" applyAlignment="1">
      <alignment horizontal="center"/>
    </xf>
    <xf numFmtId="0" fontId="0" fillId="0" borderId="27" xfId="0" applyFont="1" applyBorder="1" applyAlignment="1">
      <alignment horizontal="center" wrapText="1"/>
    </xf>
    <xf numFmtId="0" fontId="14" fillId="0" borderId="33" xfId="0" applyFont="1" applyFill="1" applyBorder="1" applyAlignment="1">
      <alignment horizontal="right"/>
    </xf>
    <xf numFmtId="176" fontId="14" fillId="0" borderId="32" xfId="4" applyNumberFormat="1" applyFont="1" applyBorder="1" applyAlignment="1">
      <alignment horizontal="center"/>
    </xf>
    <xf numFmtId="0" fontId="23" fillId="10" borderId="0" xfId="0" applyFont="1" applyFill="1" applyBorder="1" applyAlignment="1"/>
    <xf numFmtId="0" fontId="23" fillId="0" borderId="0" xfId="0" applyFont="1" applyBorder="1" applyAlignment="1"/>
    <xf numFmtId="0" fontId="23" fillId="12" borderId="2" xfId="0" applyFont="1" applyFill="1" applyBorder="1" applyAlignment="1"/>
    <xf numFmtId="0" fontId="23" fillId="12" borderId="42" xfId="0" applyFont="1" applyFill="1" applyBorder="1" applyAlignment="1"/>
    <xf numFmtId="0" fontId="23" fillId="12" borderId="24" xfId="0" applyFont="1" applyFill="1" applyBorder="1" applyAlignment="1"/>
    <xf numFmtId="0" fontId="23" fillId="13" borderId="43" xfId="0" applyFont="1" applyFill="1" applyBorder="1" applyAlignment="1">
      <alignment wrapText="1"/>
    </xf>
    <xf numFmtId="0" fontId="23" fillId="13" borderId="33" xfId="0" applyFont="1" applyFill="1" applyBorder="1" applyAlignment="1">
      <alignment wrapText="1"/>
    </xf>
    <xf numFmtId="0" fontId="23" fillId="13" borderId="45" xfId="0" applyFont="1" applyFill="1" applyBorder="1" applyAlignment="1">
      <alignment wrapText="1"/>
    </xf>
    <xf numFmtId="0" fontId="23" fillId="13" borderId="32" xfId="0" applyFont="1" applyFill="1" applyBorder="1" applyAlignment="1">
      <alignment wrapText="1"/>
    </xf>
    <xf numFmtId="0" fontId="0" fillId="0" borderId="0" xfId="0" applyBorder="1" applyAlignment="1">
      <alignment horizontal="center"/>
    </xf>
    <xf numFmtId="0" fontId="1"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1" fillId="4" borderId="2" xfId="0" applyFont="1" applyFill="1" applyBorder="1" applyAlignment="1">
      <alignment horizontal="center"/>
    </xf>
    <xf numFmtId="0" fontId="1" fillId="4" borderId="42" xfId="0" applyFont="1" applyFill="1" applyBorder="1" applyAlignment="1">
      <alignment horizontal="center"/>
    </xf>
    <xf numFmtId="0" fontId="1" fillId="4" borderId="24" xfId="0" applyFont="1" applyFill="1" applyBorder="1" applyAlignment="1">
      <alignment horizontal="center"/>
    </xf>
    <xf numFmtId="0" fontId="0" fillId="0" borderId="27" xfId="0" applyFill="1" applyBorder="1" applyAlignment="1">
      <alignment horizontal="center" vertical="center" wrapText="1"/>
    </xf>
    <xf numFmtId="0" fontId="0" fillId="0" borderId="27" xfId="0" applyFill="1" applyBorder="1" applyAlignment="1">
      <alignment horizontal="center"/>
    </xf>
    <xf numFmtId="0" fontId="0" fillId="0" borderId="27" xfId="0" applyBorder="1" applyAlignment="1">
      <alignment horizontal="center" vertical="center" wrapText="1"/>
    </xf>
    <xf numFmtId="0" fontId="0" fillId="0" borderId="27" xfId="0" applyBorder="1" applyAlignment="1">
      <alignment horizontal="center"/>
    </xf>
    <xf numFmtId="0" fontId="11" fillId="0" borderId="27" xfId="0" applyFont="1" applyFill="1" applyBorder="1" applyAlignment="1">
      <alignment horizontal="center" vertical="center" wrapText="1"/>
    </xf>
    <xf numFmtId="0" fontId="0" fillId="0" borderId="25" xfId="0" applyBorder="1" applyAlignment="1">
      <alignment horizontal="center"/>
    </xf>
    <xf numFmtId="0" fontId="0" fillId="0" borderId="23" xfId="0" applyBorder="1" applyAlignment="1">
      <alignment horizontal="center"/>
    </xf>
    <xf numFmtId="0" fontId="0" fillId="0" borderId="15" xfId="0" applyBorder="1" applyAlignment="1">
      <alignment horizontal="center"/>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5" xfId="0" applyFont="1" applyBorder="1" applyAlignment="1">
      <alignment horizontal="center" vertical="center" wrapText="1"/>
    </xf>
    <xf numFmtId="0" fontId="1" fillId="0" borderId="27" xfId="0" applyFont="1" applyBorder="1" applyAlignment="1">
      <alignment horizontal="center" wrapText="1"/>
    </xf>
    <xf numFmtId="0" fontId="12" fillId="0" borderId="34" xfId="0" applyFont="1" applyBorder="1" applyAlignment="1" applyProtection="1">
      <alignment vertical="top" wrapText="1" readingOrder="1"/>
      <protection locked="0"/>
    </xf>
    <xf numFmtId="0" fontId="0" fillId="0" borderId="21"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40"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36" xfId="0" applyBorder="1" applyAlignment="1" applyProtection="1">
      <alignment vertical="top" wrapText="1"/>
      <protection locked="0"/>
    </xf>
    <xf numFmtId="0" fontId="31" fillId="0" borderId="34" xfId="0" applyFont="1" applyBorder="1" applyAlignment="1" applyProtection="1">
      <alignment vertical="top" wrapText="1" readingOrder="1"/>
      <protection locked="0"/>
    </xf>
    <xf numFmtId="0" fontId="0" fillId="0" borderId="35" xfId="0" applyFont="1" applyBorder="1" applyAlignment="1" applyProtection="1">
      <alignment vertical="top" wrapText="1"/>
      <protection locked="0"/>
    </xf>
    <xf numFmtId="0" fontId="0" fillId="0" borderId="36" xfId="0" applyFont="1" applyBorder="1" applyAlignment="1" applyProtection="1">
      <alignment vertical="top" wrapText="1"/>
      <protection locked="0"/>
    </xf>
    <xf numFmtId="0" fontId="1" fillId="16" borderId="32" xfId="0" applyFont="1" applyFill="1" applyBorder="1" applyAlignment="1">
      <alignment horizontal="center"/>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7" xfId="0" applyFont="1" applyFill="1" applyBorder="1" applyAlignment="1">
      <alignment horizontal="center" vertical="center"/>
    </xf>
    <xf numFmtId="0" fontId="0" fillId="2" borderId="27" xfId="0" applyFill="1" applyBorder="1" applyAlignment="1">
      <alignment horizontal="center" vertical="center" wrapText="1"/>
    </xf>
    <xf numFmtId="164" fontId="0" fillId="2" borderId="27" xfId="0" applyNumberFormat="1" applyFill="1" applyBorder="1" applyAlignment="1">
      <alignment horizontal="center" vertical="center" wrapText="1"/>
    </xf>
    <xf numFmtId="0" fontId="0" fillId="2" borderId="27" xfId="0" applyFill="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16" xfId="0" applyFont="1" applyBorder="1" applyAlignment="1">
      <alignment horizontal="center"/>
    </xf>
    <xf numFmtId="0" fontId="0" fillId="0" borderId="0" xfId="0" applyAlignment="1">
      <alignment horizontal="center" wrapText="1"/>
    </xf>
    <xf numFmtId="0" fontId="1" fillId="3" borderId="0" xfId="0" applyFont="1" applyFill="1" applyBorder="1" applyAlignment="1" applyProtection="1">
      <alignment horizontal="center" vertical="center" wrapText="1"/>
      <protection locked="0"/>
    </xf>
    <xf numFmtId="0" fontId="7" fillId="0" borderId="0" xfId="8" applyBorder="1" applyAlignment="1">
      <alignment horizontal="center"/>
    </xf>
    <xf numFmtId="0" fontId="7" fillId="0" borderId="39" xfId="8" applyBorder="1" applyAlignment="1">
      <alignment horizontal="center" vertical="center"/>
    </xf>
    <xf numFmtId="0" fontId="7" fillId="0" borderId="0" xfId="8" applyBorder="1" applyAlignment="1">
      <alignment horizontal="center" vertical="center"/>
    </xf>
    <xf numFmtId="14" fontId="13" fillId="16" borderId="2" xfId="8" applyNumberFormat="1" applyFont="1" applyFill="1" applyBorder="1" applyAlignment="1">
      <alignment horizontal="center" vertical="center" wrapText="1"/>
    </xf>
    <xf numFmtId="14" fontId="13" fillId="16" borderId="42" xfId="8" applyNumberFormat="1" applyFont="1" applyFill="1" applyBorder="1" applyAlignment="1">
      <alignment horizontal="center" vertical="center" wrapText="1"/>
    </xf>
    <xf numFmtId="14" fontId="13" fillId="16" borderId="24" xfId="8"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1" fillId="2" borderId="2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26" xfId="0" applyBorder="1" applyAlignment="1">
      <alignment horizont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0" fillId="0" borderId="16" xfId="0" applyBorder="1" applyAlignment="1">
      <alignment horizontal="center" wrapText="1"/>
    </xf>
    <xf numFmtId="0" fontId="0" fillId="3" borderId="0" xfId="0" applyFill="1" applyBorder="1" applyAlignment="1" applyProtection="1">
      <alignment horizontal="justify" vertical="center" wrapText="1"/>
      <protection locked="0"/>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0" fillId="0" borderId="32" xfId="0" applyBorder="1" applyAlignment="1">
      <alignment horizontal="center"/>
    </xf>
    <xf numFmtId="168" fontId="0" fillId="0" borderId="1" xfId="0" applyNumberFormat="1" applyBorder="1" applyAlignment="1">
      <alignment horizontal="center" vertical="center"/>
    </xf>
    <xf numFmtId="164" fontId="0" fillId="0" borderId="10" xfId="0" applyNumberFormat="1" applyBorder="1" applyAlignment="1">
      <alignment horizontal="center"/>
    </xf>
    <xf numFmtId="164" fontId="0" fillId="0" borderId="11" xfId="0" applyNumberFormat="1" applyBorder="1" applyAlignment="1">
      <alignment horizontal="center"/>
    </xf>
    <xf numFmtId="0" fontId="1" fillId="0" borderId="32"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2" borderId="2" xfId="0" applyFill="1" applyBorder="1" applyAlignment="1">
      <alignment horizontal="center"/>
    </xf>
    <xf numFmtId="0" fontId="0" fillId="2" borderId="24" xfId="0" applyFill="1" applyBorder="1" applyAlignment="1">
      <alignment horizontal="center"/>
    </xf>
    <xf numFmtId="0" fontId="0" fillId="0" borderId="0" xfId="0" applyAlignment="1">
      <alignment horizontal="center" vertical="center" wrapText="1"/>
    </xf>
    <xf numFmtId="0" fontId="1" fillId="16" borderId="2" xfId="0" applyFont="1" applyFill="1" applyBorder="1" applyAlignment="1">
      <alignment horizontal="center"/>
    </xf>
    <xf numFmtId="0" fontId="1" fillId="16" borderId="42" xfId="0" applyFont="1" applyFill="1" applyBorder="1" applyAlignment="1">
      <alignment horizontal="center"/>
    </xf>
    <xf numFmtId="0" fontId="1" fillId="16" borderId="24" xfId="0" applyFont="1" applyFill="1" applyBorder="1" applyAlignment="1">
      <alignment horizontal="center"/>
    </xf>
  </cellXfs>
  <cellStyles count="10">
    <cellStyle name="Hipervínculo 2" xfId="5"/>
    <cellStyle name="Millares 2" xfId="4"/>
    <cellStyle name="Millares 3" xfId="7"/>
    <cellStyle name="Moneda [0]" xfId="9" builtinId="7"/>
    <cellStyle name="Moneda [0] 2" xfId="3"/>
    <cellStyle name="Moneda 2" xfId="2"/>
    <cellStyle name="Normal" xfId="0" builtinId="0"/>
    <cellStyle name="Normal 2" xfId="1"/>
    <cellStyle name="Normal 3" xfId="6"/>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93"/>
  <sheetViews>
    <sheetView topLeftCell="A91" zoomScale="70" zoomScaleNormal="70" workbookViewId="0">
      <selection activeCell="E4" sqref="E4"/>
    </sheetView>
  </sheetViews>
  <sheetFormatPr baseColWidth="10" defaultRowHeight="15.75"/>
  <cols>
    <col min="1" max="1" width="27.85546875" style="129" customWidth="1"/>
    <col min="2" max="2" width="21.85546875" style="129" customWidth="1"/>
    <col min="3" max="3" width="37" style="129" customWidth="1"/>
    <col min="4" max="4" width="26.85546875" style="129" customWidth="1"/>
    <col min="5" max="5" width="34.42578125" style="129" customWidth="1"/>
    <col min="6" max="6" width="22.85546875" style="129" customWidth="1"/>
    <col min="7" max="7" width="11.42578125" style="129"/>
    <col min="8" max="8" width="25.28515625" style="129" customWidth="1"/>
    <col min="9" max="9" width="28.140625" style="129" customWidth="1"/>
    <col min="10" max="10" width="20.5703125" style="129" customWidth="1"/>
    <col min="11" max="11" width="13.7109375" style="129" customWidth="1"/>
    <col min="12" max="12" width="11.42578125" style="129"/>
    <col min="13" max="13" width="23.28515625" style="129" customWidth="1"/>
    <col min="14" max="14" width="52.42578125" style="129" customWidth="1"/>
    <col min="15" max="16384" width="11.42578125" style="129"/>
  </cols>
  <sheetData>
    <row r="1" spans="1:14" ht="45.75" customHeight="1">
      <c r="A1" s="127" t="s">
        <v>244</v>
      </c>
      <c r="B1" s="127"/>
      <c r="C1" s="127"/>
      <c r="D1" s="127"/>
      <c r="E1" s="127"/>
      <c r="F1" s="127"/>
      <c r="G1" s="128"/>
    </row>
    <row r="2" spans="1:14" ht="30" customHeight="1">
      <c r="A2" s="130" t="s">
        <v>245</v>
      </c>
      <c r="B2" s="130" t="s">
        <v>246</v>
      </c>
      <c r="C2" s="130" t="s">
        <v>247</v>
      </c>
      <c r="D2" s="131" t="s">
        <v>248</v>
      </c>
      <c r="E2" s="132" t="s">
        <v>249</v>
      </c>
      <c r="F2" s="130" t="s">
        <v>250</v>
      </c>
      <c r="G2" s="133"/>
      <c r="H2" s="168" t="s">
        <v>417</v>
      </c>
      <c r="I2" s="168" t="s">
        <v>418</v>
      </c>
      <c r="J2" s="168" t="s">
        <v>419</v>
      </c>
      <c r="K2" s="168" t="s">
        <v>248</v>
      </c>
      <c r="L2" s="168" t="s">
        <v>420</v>
      </c>
      <c r="M2" s="168" t="s">
        <v>421</v>
      </c>
      <c r="N2" s="168" t="s">
        <v>422</v>
      </c>
    </row>
    <row r="3" spans="1:14" ht="32.25" customHeight="1">
      <c r="A3" s="134" t="s">
        <v>251</v>
      </c>
      <c r="B3" s="134" t="s">
        <v>252</v>
      </c>
      <c r="C3" s="134" t="s">
        <v>253</v>
      </c>
      <c r="D3" s="135">
        <v>845</v>
      </c>
      <c r="E3" s="136" t="s">
        <v>464</v>
      </c>
      <c r="F3" s="137">
        <v>124950</v>
      </c>
      <c r="H3" s="99" t="s">
        <v>423</v>
      </c>
      <c r="I3" s="99" t="s">
        <v>424</v>
      </c>
      <c r="J3" s="99" t="s">
        <v>291</v>
      </c>
      <c r="K3" s="99" t="s">
        <v>63</v>
      </c>
      <c r="L3" s="99">
        <v>2013</v>
      </c>
      <c r="M3" s="169">
        <v>44271</v>
      </c>
      <c r="N3" s="99" t="s">
        <v>425</v>
      </c>
    </row>
    <row r="4" spans="1:14" ht="32.25" customHeight="1">
      <c r="A4" s="134" t="s">
        <v>254</v>
      </c>
      <c r="B4" s="134" t="s">
        <v>252</v>
      </c>
      <c r="C4" s="134" t="s">
        <v>255</v>
      </c>
      <c r="D4" s="135" t="s">
        <v>256</v>
      </c>
      <c r="E4" s="136" t="s">
        <v>257</v>
      </c>
      <c r="F4" s="137">
        <v>118676</v>
      </c>
      <c r="H4" s="99" t="s">
        <v>423</v>
      </c>
      <c r="I4" s="99" t="s">
        <v>424</v>
      </c>
      <c r="J4" s="99" t="s">
        <v>426</v>
      </c>
      <c r="K4" s="99" t="s">
        <v>47</v>
      </c>
      <c r="L4" s="99">
        <v>2018</v>
      </c>
      <c r="M4" s="99" t="s">
        <v>427</v>
      </c>
      <c r="N4" s="275" t="s">
        <v>460</v>
      </c>
    </row>
    <row r="5" spans="1:14" ht="32.25" customHeight="1">
      <c r="A5" s="134" t="s">
        <v>258</v>
      </c>
      <c r="B5" s="134" t="s">
        <v>252</v>
      </c>
      <c r="C5" s="134" t="s">
        <v>259</v>
      </c>
      <c r="D5" s="135" t="s">
        <v>260</v>
      </c>
      <c r="E5" s="136" t="s">
        <v>261</v>
      </c>
      <c r="F5" s="137">
        <v>202300</v>
      </c>
      <c r="H5" s="99" t="s">
        <v>423</v>
      </c>
      <c r="I5" s="99" t="s">
        <v>424</v>
      </c>
      <c r="J5" s="99" t="s">
        <v>426</v>
      </c>
      <c r="K5" s="99" t="s">
        <v>48</v>
      </c>
      <c r="L5" s="99">
        <v>2018</v>
      </c>
      <c r="M5" s="99" t="s">
        <v>427</v>
      </c>
      <c r="N5" s="275"/>
    </row>
    <row r="6" spans="1:14" ht="32.25" customHeight="1">
      <c r="A6" s="134" t="s">
        <v>262</v>
      </c>
      <c r="B6" s="134" t="s">
        <v>252</v>
      </c>
      <c r="C6" s="134" t="s">
        <v>263</v>
      </c>
      <c r="D6" s="135" t="s">
        <v>264</v>
      </c>
      <c r="E6" s="136" t="s">
        <v>265</v>
      </c>
      <c r="F6" s="137">
        <v>95200</v>
      </c>
      <c r="H6" s="99" t="s">
        <v>423</v>
      </c>
      <c r="I6" s="99" t="s">
        <v>424</v>
      </c>
      <c r="J6" s="99" t="s">
        <v>426</v>
      </c>
      <c r="K6" s="99" t="s">
        <v>49</v>
      </c>
      <c r="L6" s="99">
        <v>2018</v>
      </c>
      <c r="M6" s="99" t="s">
        <v>427</v>
      </c>
      <c r="N6" s="275"/>
    </row>
    <row r="7" spans="1:14" ht="32.25" customHeight="1">
      <c r="A7" s="134" t="s">
        <v>266</v>
      </c>
      <c r="B7" s="134" t="s">
        <v>252</v>
      </c>
      <c r="C7" s="134" t="s">
        <v>267</v>
      </c>
      <c r="D7" s="135" t="s">
        <v>268</v>
      </c>
      <c r="E7" s="136" t="s">
        <v>269</v>
      </c>
      <c r="F7" s="137">
        <v>674575</v>
      </c>
      <c r="H7" s="99" t="s">
        <v>428</v>
      </c>
      <c r="I7" s="99" t="s">
        <v>429</v>
      </c>
      <c r="J7" s="99" t="s">
        <v>430</v>
      </c>
      <c r="K7" s="99" t="s">
        <v>46</v>
      </c>
      <c r="L7" s="99">
        <v>2010</v>
      </c>
      <c r="M7" s="169">
        <v>44217</v>
      </c>
      <c r="N7" s="99" t="s">
        <v>431</v>
      </c>
    </row>
    <row r="8" spans="1:14" ht="48" customHeight="1">
      <c r="A8" s="134" t="s">
        <v>270</v>
      </c>
      <c r="B8" s="134" t="s">
        <v>252</v>
      </c>
      <c r="C8" s="134" t="s">
        <v>267</v>
      </c>
      <c r="D8" s="135" t="s">
        <v>271</v>
      </c>
      <c r="E8" s="136" t="s">
        <v>463</v>
      </c>
      <c r="F8" s="137">
        <v>458150</v>
      </c>
      <c r="H8" s="99" t="s">
        <v>432</v>
      </c>
      <c r="I8" s="99" t="s">
        <v>429</v>
      </c>
      <c r="J8" s="99" t="s">
        <v>433</v>
      </c>
      <c r="K8" s="99" t="s">
        <v>59</v>
      </c>
      <c r="L8" s="99">
        <v>2008</v>
      </c>
      <c r="M8" s="169">
        <v>44537</v>
      </c>
      <c r="N8" s="170" t="s">
        <v>434</v>
      </c>
    </row>
    <row r="9" spans="1:14" ht="48" customHeight="1">
      <c r="A9" s="134" t="s">
        <v>272</v>
      </c>
      <c r="B9" s="134" t="s">
        <v>252</v>
      </c>
      <c r="C9" s="134" t="s">
        <v>273</v>
      </c>
      <c r="D9" s="135" t="s">
        <v>274</v>
      </c>
      <c r="E9" s="136" t="s">
        <v>275</v>
      </c>
      <c r="F9" s="137">
        <v>107100</v>
      </c>
      <c r="H9" s="99" t="s">
        <v>432</v>
      </c>
      <c r="I9" s="99" t="s">
        <v>429</v>
      </c>
      <c r="J9" s="99" t="s">
        <v>433</v>
      </c>
      <c r="K9" s="99" t="s">
        <v>60</v>
      </c>
      <c r="L9" s="99">
        <v>2008</v>
      </c>
      <c r="M9" s="169">
        <v>44539</v>
      </c>
      <c r="N9" s="99" t="s">
        <v>435</v>
      </c>
    </row>
    <row r="10" spans="1:14" ht="32.25" customHeight="1">
      <c r="A10" s="134" t="s">
        <v>276</v>
      </c>
      <c r="B10" s="134" t="s">
        <v>252</v>
      </c>
      <c r="C10" s="134" t="s">
        <v>259</v>
      </c>
      <c r="D10" s="135" t="s">
        <v>260</v>
      </c>
      <c r="E10" s="136" t="s">
        <v>277</v>
      </c>
      <c r="F10" s="137">
        <v>238000</v>
      </c>
      <c r="H10" s="99" t="s">
        <v>432</v>
      </c>
      <c r="I10" s="99" t="s">
        <v>429</v>
      </c>
      <c r="J10" s="99" t="s">
        <v>433</v>
      </c>
      <c r="K10" s="99" t="s">
        <v>61</v>
      </c>
      <c r="L10" s="99">
        <v>2008</v>
      </c>
      <c r="M10" s="171">
        <v>44455</v>
      </c>
      <c r="N10" s="99" t="s">
        <v>436</v>
      </c>
    </row>
    <row r="11" spans="1:14" ht="32.25" customHeight="1">
      <c r="A11" s="134" t="s">
        <v>278</v>
      </c>
      <c r="B11" s="134" t="s">
        <v>252</v>
      </c>
      <c r="C11" s="134" t="s">
        <v>279</v>
      </c>
      <c r="D11" s="135" t="s">
        <v>280</v>
      </c>
      <c r="E11" s="136" t="s">
        <v>281</v>
      </c>
      <c r="F11" s="137">
        <v>470290</v>
      </c>
      <c r="H11" s="99" t="s">
        <v>432</v>
      </c>
      <c r="I11" s="99" t="s">
        <v>429</v>
      </c>
      <c r="J11" s="99" t="s">
        <v>433</v>
      </c>
      <c r="K11" s="99" t="s">
        <v>62</v>
      </c>
      <c r="L11" s="99">
        <v>2008</v>
      </c>
      <c r="M11" s="171">
        <v>44460</v>
      </c>
      <c r="N11" s="99" t="s">
        <v>437</v>
      </c>
    </row>
    <row r="12" spans="1:14" ht="32.25" customHeight="1" thickBot="1">
      <c r="A12" s="138" t="s">
        <v>282</v>
      </c>
      <c r="B12" s="139" t="s">
        <v>282</v>
      </c>
      <c r="C12" s="276" t="s">
        <v>283</v>
      </c>
      <c r="D12" s="276"/>
      <c r="E12" s="140"/>
      <c r="F12" s="141">
        <f>SUM(F3:F11)</f>
        <v>2489241</v>
      </c>
      <c r="H12" s="99" t="s">
        <v>330</v>
      </c>
      <c r="I12" s="99" t="s">
        <v>429</v>
      </c>
      <c r="J12" s="99" t="s">
        <v>430</v>
      </c>
      <c r="K12" s="99" t="s">
        <v>152</v>
      </c>
      <c r="L12" s="99">
        <v>2019</v>
      </c>
      <c r="M12" s="99" t="s">
        <v>427</v>
      </c>
      <c r="N12" s="170" t="s">
        <v>460</v>
      </c>
    </row>
    <row r="13" spans="1:14" ht="32.25" customHeight="1" thickTop="1">
      <c r="A13" s="138"/>
      <c r="B13" s="139"/>
      <c r="C13" s="140"/>
      <c r="D13" s="140"/>
      <c r="E13" s="140"/>
      <c r="F13" s="125"/>
      <c r="H13" s="99" t="s">
        <v>263</v>
      </c>
      <c r="I13" s="99" t="s">
        <v>438</v>
      </c>
      <c r="J13" s="99" t="s">
        <v>439</v>
      </c>
      <c r="K13" s="99" t="s">
        <v>409</v>
      </c>
      <c r="L13" s="99">
        <v>2019</v>
      </c>
      <c r="M13" s="99" t="s">
        <v>427</v>
      </c>
      <c r="N13" s="275" t="s">
        <v>459</v>
      </c>
    </row>
    <row r="14" spans="1:14">
      <c r="A14" s="138"/>
      <c r="B14" s="139"/>
      <c r="C14" s="140" t="s">
        <v>284</v>
      </c>
      <c r="D14" s="140"/>
      <c r="E14" s="140"/>
      <c r="F14" s="125"/>
      <c r="H14" s="99" t="s">
        <v>440</v>
      </c>
      <c r="I14" s="99" t="s">
        <v>438</v>
      </c>
      <c r="J14" s="99" t="s">
        <v>441</v>
      </c>
      <c r="K14" s="99" t="s">
        <v>442</v>
      </c>
      <c r="L14" s="99">
        <v>2019</v>
      </c>
      <c r="M14" s="99" t="s">
        <v>427</v>
      </c>
      <c r="N14" s="275"/>
    </row>
    <row r="15" spans="1:14" ht="30.75">
      <c r="A15" s="142" t="s">
        <v>245</v>
      </c>
      <c r="B15" s="143" t="s">
        <v>32</v>
      </c>
      <c r="C15" s="144" t="s">
        <v>247</v>
      </c>
      <c r="D15" s="144" t="s">
        <v>248</v>
      </c>
      <c r="E15" s="132" t="s">
        <v>249</v>
      </c>
      <c r="F15" s="145" t="s">
        <v>250</v>
      </c>
      <c r="H15" s="99" t="s">
        <v>443</v>
      </c>
      <c r="I15" s="99" t="s">
        <v>438</v>
      </c>
      <c r="J15" s="99" t="s">
        <v>439</v>
      </c>
      <c r="K15" s="99" t="s">
        <v>223</v>
      </c>
      <c r="L15" s="99">
        <v>2007</v>
      </c>
      <c r="M15" s="99" t="s">
        <v>427</v>
      </c>
      <c r="N15" s="275"/>
    </row>
    <row r="16" spans="1:14" ht="45">
      <c r="A16" s="142" t="s">
        <v>285</v>
      </c>
      <c r="B16" s="143" t="s">
        <v>286</v>
      </c>
      <c r="C16" s="144" t="s">
        <v>287</v>
      </c>
      <c r="D16" s="144" t="s">
        <v>288</v>
      </c>
      <c r="E16" s="146" t="s">
        <v>289</v>
      </c>
      <c r="F16" s="145">
        <v>359436</v>
      </c>
      <c r="H16" s="99" t="s">
        <v>444</v>
      </c>
      <c r="I16" s="99" t="s">
        <v>438</v>
      </c>
      <c r="J16" s="99" t="s">
        <v>439</v>
      </c>
      <c r="K16" s="99" t="s">
        <v>224</v>
      </c>
      <c r="L16" s="99">
        <v>2008</v>
      </c>
      <c r="M16" s="99" t="s">
        <v>427</v>
      </c>
      <c r="N16" s="275"/>
    </row>
    <row r="17" spans="1:6" ht="45">
      <c r="A17" s="142" t="s">
        <v>290</v>
      </c>
      <c r="B17" s="143" t="s">
        <v>286</v>
      </c>
      <c r="C17" s="144" t="s">
        <v>291</v>
      </c>
      <c r="D17" s="144" t="s">
        <v>292</v>
      </c>
      <c r="E17" s="146" t="s">
        <v>462</v>
      </c>
      <c r="F17" s="145">
        <v>447713</v>
      </c>
    </row>
    <row r="18" spans="1:6" ht="165">
      <c r="A18" s="142" t="s">
        <v>293</v>
      </c>
      <c r="B18" s="143" t="s">
        <v>286</v>
      </c>
      <c r="C18" s="144" t="s">
        <v>287</v>
      </c>
      <c r="D18" s="144" t="s">
        <v>294</v>
      </c>
      <c r="E18" s="146" t="s">
        <v>461</v>
      </c>
      <c r="F18" s="145">
        <v>2013208</v>
      </c>
    </row>
    <row r="19" spans="1:6" ht="30">
      <c r="A19" s="142" t="s">
        <v>295</v>
      </c>
      <c r="B19" s="143" t="s">
        <v>286</v>
      </c>
      <c r="C19" s="144" t="s">
        <v>296</v>
      </c>
      <c r="D19" s="144" t="s">
        <v>260</v>
      </c>
      <c r="E19" s="146" t="s">
        <v>297</v>
      </c>
      <c r="F19" s="145">
        <v>217165</v>
      </c>
    </row>
    <row r="20" spans="1:6" ht="30">
      <c r="A20" s="142" t="s">
        <v>298</v>
      </c>
      <c r="B20" s="143" t="s">
        <v>286</v>
      </c>
      <c r="C20" s="144" t="s">
        <v>296</v>
      </c>
      <c r="D20" s="144" t="s">
        <v>260</v>
      </c>
      <c r="E20" s="146" t="s">
        <v>299</v>
      </c>
      <c r="F20" s="145">
        <v>523600</v>
      </c>
    </row>
    <row r="21" spans="1:6" ht="165">
      <c r="A21" s="142" t="s">
        <v>300</v>
      </c>
      <c r="B21" s="143" t="s">
        <v>286</v>
      </c>
      <c r="C21" s="144" t="s">
        <v>301</v>
      </c>
      <c r="D21" s="144" t="s">
        <v>302</v>
      </c>
      <c r="E21" s="146" t="s">
        <v>303</v>
      </c>
      <c r="F21" s="145">
        <v>1755803</v>
      </c>
    </row>
    <row r="22" spans="1:6" ht="45">
      <c r="A22" s="142" t="s">
        <v>304</v>
      </c>
      <c r="B22" s="143" t="s">
        <v>286</v>
      </c>
      <c r="C22" s="144" t="s">
        <v>296</v>
      </c>
      <c r="D22" s="144" t="s">
        <v>260</v>
      </c>
      <c r="E22" s="146" t="s">
        <v>305</v>
      </c>
      <c r="F22" s="145">
        <v>166600</v>
      </c>
    </row>
    <row r="23" spans="1:6" ht="30">
      <c r="A23" s="142" t="s">
        <v>306</v>
      </c>
      <c r="B23" s="143" t="s">
        <v>286</v>
      </c>
      <c r="C23" s="144" t="s">
        <v>287</v>
      </c>
      <c r="D23" s="144" t="s">
        <v>307</v>
      </c>
      <c r="E23" s="146" t="s">
        <v>308</v>
      </c>
      <c r="F23" s="145">
        <v>95200</v>
      </c>
    </row>
    <row r="24" spans="1:6" ht="105">
      <c r="A24" s="142" t="s">
        <v>309</v>
      </c>
      <c r="B24" s="143" t="s">
        <v>286</v>
      </c>
      <c r="C24" s="144" t="s">
        <v>263</v>
      </c>
      <c r="D24" s="144" t="s">
        <v>264</v>
      </c>
      <c r="E24" s="146" t="s">
        <v>310</v>
      </c>
      <c r="F24" s="145">
        <v>1777170</v>
      </c>
    </row>
    <row r="25" spans="1:6" ht="45">
      <c r="A25" s="142" t="s">
        <v>311</v>
      </c>
      <c r="B25" s="143" t="s">
        <v>286</v>
      </c>
      <c r="C25" s="147" t="s">
        <v>287</v>
      </c>
      <c r="D25" s="147" t="s">
        <v>307</v>
      </c>
      <c r="E25" s="146" t="s">
        <v>312</v>
      </c>
      <c r="F25" s="145">
        <v>2241346</v>
      </c>
    </row>
    <row r="26" spans="1:6" ht="30">
      <c r="A26" s="142" t="s">
        <v>313</v>
      </c>
      <c r="B26" s="143" t="s">
        <v>286</v>
      </c>
      <c r="C26" s="147" t="s">
        <v>314</v>
      </c>
      <c r="D26" s="147">
        <v>845</v>
      </c>
      <c r="E26" s="146" t="s">
        <v>315</v>
      </c>
      <c r="F26" s="145">
        <v>524802</v>
      </c>
    </row>
    <row r="27" spans="1:6" ht="30">
      <c r="A27" s="142" t="s">
        <v>316</v>
      </c>
      <c r="B27" s="143" t="s">
        <v>286</v>
      </c>
      <c r="C27" s="147" t="s">
        <v>279</v>
      </c>
      <c r="D27" s="147" t="s">
        <v>280</v>
      </c>
      <c r="E27" s="146" t="s">
        <v>317</v>
      </c>
      <c r="F27" s="145">
        <v>59500</v>
      </c>
    </row>
    <row r="28" spans="1:6">
      <c r="A28" s="142"/>
      <c r="B28" s="148"/>
      <c r="C28" s="147"/>
      <c r="D28" s="147"/>
      <c r="E28" s="147"/>
      <c r="F28" s="149">
        <f>+SUM(F16:F27)</f>
        <v>10181543</v>
      </c>
    </row>
    <row r="29" spans="1:6">
      <c r="A29" s="138"/>
      <c r="B29" s="150"/>
      <c r="C29" s="124"/>
      <c r="D29" s="124"/>
      <c r="E29" s="124"/>
      <c r="F29" s="125"/>
    </row>
    <row r="30" spans="1:6">
      <c r="A30" s="138"/>
      <c r="B30" s="150"/>
      <c r="C30" s="124"/>
      <c r="D30" s="124"/>
      <c r="E30" s="124"/>
      <c r="F30" s="125"/>
    </row>
    <row r="31" spans="1:6">
      <c r="A31" s="138"/>
      <c r="B31" s="150"/>
      <c r="C31" s="124"/>
      <c r="D31" s="124"/>
      <c r="E31" s="124"/>
      <c r="F31" s="125"/>
    </row>
    <row r="32" spans="1:6">
      <c r="A32" s="138"/>
      <c r="B32" s="150"/>
      <c r="C32" s="124"/>
      <c r="D32" s="124"/>
      <c r="E32" s="124"/>
      <c r="F32" s="125"/>
    </row>
    <row r="33" spans="1:6">
      <c r="A33" s="138"/>
      <c r="B33" s="139"/>
      <c r="C33" s="140"/>
      <c r="D33" s="140"/>
      <c r="E33" s="140"/>
      <c r="F33" s="125"/>
    </row>
    <row r="34" spans="1:6">
      <c r="A34" s="151" t="s">
        <v>282</v>
      </c>
      <c r="B34" s="151"/>
      <c r="C34" s="151"/>
      <c r="D34" s="277" t="s">
        <v>318</v>
      </c>
      <c r="E34" s="277"/>
      <c r="F34" s="277"/>
    </row>
    <row r="35" spans="1:6" ht="30.75">
      <c r="A35" s="130" t="s">
        <v>245</v>
      </c>
      <c r="B35" s="130" t="s">
        <v>246</v>
      </c>
      <c r="C35" s="130" t="s">
        <v>247</v>
      </c>
      <c r="D35" s="131" t="s">
        <v>248</v>
      </c>
      <c r="E35" s="132" t="s">
        <v>249</v>
      </c>
      <c r="F35" s="130" t="s">
        <v>250</v>
      </c>
    </row>
    <row r="36" spans="1:6" ht="165">
      <c r="A36" s="134" t="s">
        <v>319</v>
      </c>
      <c r="B36" s="134" t="s">
        <v>320</v>
      </c>
      <c r="C36" s="134" t="s">
        <v>321</v>
      </c>
      <c r="D36" s="135" t="s">
        <v>288</v>
      </c>
      <c r="E36" s="152" t="s">
        <v>322</v>
      </c>
      <c r="F36" s="137">
        <v>6130902</v>
      </c>
    </row>
    <row r="37" spans="1:6">
      <c r="A37" s="134" t="s">
        <v>323</v>
      </c>
      <c r="B37" s="134" t="s">
        <v>320</v>
      </c>
      <c r="C37" s="134" t="s">
        <v>324</v>
      </c>
      <c r="D37" s="135" t="s">
        <v>325</v>
      </c>
      <c r="E37" s="152" t="s">
        <v>326</v>
      </c>
      <c r="F37" s="137">
        <v>101150</v>
      </c>
    </row>
    <row r="38" spans="1:6">
      <c r="A38" s="134" t="s">
        <v>327</v>
      </c>
      <c r="B38" s="134" t="s">
        <v>320</v>
      </c>
      <c r="C38" s="134" t="s">
        <v>321</v>
      </c>
      <c r="D38" s="135" t="s">
        <v>294</v>
      </c>
      <c r="E38" s="152" t="s">
        <v>328</v>
      </c>
      <c r="F38" s="137">
        <v>1073073</v>
      </c>
    </row>
    <row r="39" spans="1:6" ht="30">
      <c r="A39" s="134" t="s">
        <v>329</v>
      </c>
      <c r="B39" s="134" t="s">
        <v>320</v>
      </c>
      <c r="C39" s="134" t="s">
        <v>330</v>
      </c>
      <c r="D39" s="135" t="s">
        <v>330</v>
      </c>
      <c r="E39" s="152" t="s">
        <v>331</v>
      </c>
      <c r="F39" s="137">
        <v>61880</v>
      </c>
    </row>
    <row r="40" spans="1:6" ht="45">
      <c r="A40" s="134" t="s">
        <v>332</v>
      </c>
      <c r="B40" s="134" t="s">
        <v>320</v>
      </c>
      <c r="C40" s="134" t="s">
        <v>291</v>
      </c>
      <c r="D40" s="135" t="s">
        <v>292</v>
      </c>
      <c r="E40" s="152" t="s">
        <v>333</v>
      </c>
      <c r="F40" s="137">
        <v>368568</v>
      </c>
    </row>
    <row r="41" spans="1:6">
      <c r="A41" s="153" t="s">
        <v>282</v>
      </c>
      <c r="B41" s="153"/>
      <c r="C41" s="276" t="s">
        <v>334</v>
      </c>
      <c r="D41" s="276"/>
      <c r="E41" s="140"/>
      <c r="F41" s="154">
        <f>SUM(F36:F40)</f>
        <v>7735573</v>
      </c>
    </row>
    <row r="42" spans="1:6">
      <c r="A42" s="153"/>
      <c r="B42" s="153"/>
      <c r="C42" s="140"/>
      <c r="D42" s="140"/>
      <c r="E42" s="140"/>
      <c r="F42" s="155"/>
    </row>
    <row r="43" spans="1:6">
      <c r="A43" s="156"/>
      <c r="B43" s="150"/>
      <c r="C43" s="124"/>
      <c r="D43" s="277" t="s">
        <v>335</v>
      </c>
      <c r="E43" s="277"/>
      <c r="F43" s="277"/>
    </row>
    <row r="44" spans="1:6" ht="30.75">
      <c r="A44" s="130" t="s">
        <v>245</v>
      </c>
      <c r="B44" s="130" t="s">
        <v>246</v>
      </c>
      <c r="C44" s="130" t="s">
        <v>247</v>
      </c>
      <c r="D44" s="131" t="s">
        <v>248</v>
      </c>
      <c r="E44" s="132" t="s">
        <v>249</v>
      </c>
      <c r="F44" s="130" t="s">
        <v>250</v>
      </c>
    </row>
    <row r="45" spans="1:6" ht="30.75">
      <c r="A45" s="134" t="s">
        <v>336</v>
      </c>
      <c r="B45" s="134" t="s">
        <v>337</v>
      </c>
      <c r="C45" s="134" t="s">
        <v>338</v>
      </c>
      <c r="D45" s="135" t="s">
        <v>292</v>
      </c>
      <c r="E45" s="136" t="s">
        <v>339</v>
      </c>
      <c r="F45" s="137">
        <v>596054</v>
      </c>
    </row>
    <row r="46" spans="1:6">
      <c r="A46" s="134" t="s">
        <v>340</v>
      </c>
      <c r="B46" s="134" t="s">
        <v>337</v>
      </c>
      <c r="C46" s="134" t="s">
        <v>279</v>
      </c>
      <c r="D46" s="135" t="s">
        <v>280</v>
      </c>
      <c r="E46" s="136" t="s">
        <v>341</v>
      </c>
      <c r="F46" s="137">
        <v>267750</v>
      </c>
    </row>
    <row r="47" spans="1:6" ht="16.5" thickBot="1">
      <c r="A47" s="156" t="s">
        <v>282</v>
      </c>
      <c r="B47" s="150" t="s">
        <v>282</v>
      </c>
      <c r="C47" s="276" t="s">
        <v>334</v>
      </c>
      <c r="D47" s="276"/>
      <c r="E47" s="140"/>
      <c r="F47" s="141">
        <f>SUM(F45:F46)</f>
        <v>863804</v>
      </c>
    </row>
    <row r="48" spans="1:6" ht="16.5" thickTop="1">
      <c r="A48" s="156"/>
      <c r="B48" s="150"/>
      <c r="C48" s="140"/>
      <c r="D48" s="140"/>
      <c r="E48" s="140"/>
      <c r="F48" s="125"/>
    </row>
    <row r="49" spans="1:6">
      <c r="A49" s="156"/>
      <c r="B49" s="150"/>
      <c r="C49" s="140"/>
      <c r="D49" s="140"/>
      <c r="E49" s="277" t="s">
        <v>342</v>
      </c>
      <c r="F49" s="277"/>
    </row>
    <row r="50" spans="1:6" ht="30.75">
      <c r="A50" s="157" t="s">
        <v>245</v>
      </c>
      <c r="B50" s="157" t="s">
        <v>246</v>
      </c>
      <c r="C50" s="157" t="s">
        <v>247</v>
      </c>
      <c r="D50" s="148" t="s">
        <v>248</v>
      </c>
      <c r="E50" s="132" t="s">
        <v>249</v>
      </c>
      <c r="F50" s="157" t="s">
        <v>250</v>
      </c>
    </row>
    <row r="51" spans="1:6" ht="90.75">
      <c r="A51" s="157" t="s">
        <v>343</v>
      </c>
      <c r="B51" s="148" t="s">
        <v>344</v>
      </c>
      <c r="C51" s="143" t="s">
        <v>287</v>
      </c>
      <c r="D51" s="143" t="s">
        <v>294</v>
      </c>
      <c r="E51" s="158" t="s">
        <v>345</v>
      </c>
      <c r="F51" s="159">
        <v>1350650</v>
      </c>
    </row>
    <row r="52" spans="1:6" ht="90.75">
      <c r="A52" s="157" t="s">
        <v>346</v>
      </c>
      <c r="B52" s="148" t="s">
        <v>347</v>
      </c>
      <c r="C52" s="143" t="s">
        <v>348</v>
      </c>
      <c r="D52" s="143" t="s">
        <v>268</v>
      </c>
      <c r="E52" s="158" t="s">
        <v>349</v>
      </c>
      <c r="F52" s="159">
        <v>1070524</v>
      </c>
    </row>
    <row r="53" spans="1:6" ht="30.75">
      <c r="A53" s="157" t="s">
        <v>350</v>
      </c>
      <c r="B53" s="148" t="s">
        <v>351</v>
      </c>
      <c r="C53" s="148" t="s">
        <v>352</v>
      </c>
      <c r="D53" s="148" t="s">
        <v>353</v>
      </c>
      <c r="E53" s="160" t="s">
        <v>354</v>
      </c>
      <c r="F53" s="159">
        <v>507244</v>
      </c>
    </row>
    <row r="54" spans="1:6" ht="60.75">
      <c r="A54" s="148" t="s">
        <v>355</v>
      </c>
      <c r="B54" s="148" t="s">
        <v>356</v>
      </c>
      <c r="C54" s="148" t="s">
        <v>357</v>
      </c>
      <c r="D54" s="148" t="s">
        <v>292</v>
      </c>
      <c r="E54" s="160" t="s">
        <v>358</v>
      </c>
      <c r="F54" s="159">
        <v>563240</v>
      </c>
    </row>
    <row r="55" spans="1:6" ht="30.75">
      <c r="A55" s="157" t="s">
        <v>359</v>
      </c>
      <c r="B55" s="148" t="s">
        <v>360</v>
      </c>
      <c r="C55" s="148" t="s">
        <v>279</v>
      </c>
      <c r="D55" s="148" t="s">
        <v>280</v>
      </c>
      <c r="E55" s="160" t="s">
        <v>361</v>
      </c>
      <c r="F55" s="159">
        <v>547400</v>
      </c>
    </row>
    <row r="56" spans="1:6" ht="60.75">
      <c r="A56" s="157" t="s">
        <v>362</v>
      </c>
      <c r="B56" s="148" t="s">
        <v>363</v>
      </c>
      <c r="C56" s="148" t="s">
        <v>348</v>
      </c>
      <c r="D56" s="148" t="s">
        <v>271</v>
      </c>
      <c r="E56" s="160" t="s">
        <v>364</v>
      </c>
      <c r="F56" s="159">
        <v>881755</v>
      </c>
    </row>
    <row r="57" spans="1:6" ht="16.5" thickBot="1">
      <c r="A57" s="273" t="s">
        <v>365</v>
      </c>
      <c r="B57" s="273"/>
      <c r="C57" s="273"/>
      <c r="D57" s="273"/>
      <c r="E57" s="161"/>
      <c r="F57" s="162">
        <f>SUM(F51:F56)</f>
        <v>4920813</v>
      </c>
    </row>
    <row r="58" spans="1:6">
      <c r="A58" s="163"/>
      <c r="B58" s="163"/>
      <c r="C58" s="163"/>
      <c r="D58" s="163"/>
      <c r="E58" s="163"/>
      <c r="F58" s="164"/>
    </row>
    <row r="59" spans="1:6">
      <c r="A59" s="163"/>
      <c r="B59" s="163"/>
      <c r="C59" s="165" t="s">
        <v>366</v>
      </c>
      <c r="D59" s="163"/>
      <c r="E59" s="163"/>
      <c r="F59" s="164"/>
    </row>
    <row r="60" spans="1:6" ht="30.75">
      <c r="A60" s="130" t="s">
        <v>245</v>
      </c>
      <c r="B60" s="130" t="s">
        <v>246</v>
      </c>
      <c r="C60" s="130" t="s">
        <v>247</v>
      </c>
      <c r="D60" s="131" t="s">
        <v>248</v>
      </c>
      <c r="E60" s="132" t="s">
        <v>249</v>
      </c>
      <c r="F60" s="130" t="s">
        <v>250</v>
      </c>
    </row>
    <row r="61" spans="1:6" ht="165.75">
      <c r="A61" s="148" t="s">
        <v>367</v>
      </c>
      <c r="B61" s="148" t="s">
        <v>38</v>
      </c>
      <c r="C61" s="148" t="s">
        <v>301</v>
      </c>
      <c r="D61" s="148" t="s">
        <v>274</v>
      </c>
      <c r="E61" s="160" t="s">
        <v>368</v>
      </c>
      <c r="F61" s="159">
        <v>4630998</v>
      </c>
    </row>
    <row r="62" spans="1:6" ht="60.75">
      <c r="A62" s="148" t="s">
        <v>369</v>
      </c>
      <c r="B62" s="148" t="s">
        <v>38</v>
      </c>
      <c r="C62" s="148" t="s">
        <v>348</v>
      </c>
      <c r="D62" s="148" t="s">
        <v>271</v>
      </c>
      <c r="E62" s="160" t="s">
        <v>370</v>
      </c>
      <c r="F62" s="159">
        <v>214200</v>
      </c>
    </row>
    <row r="63" spans="1:6" ht="30.75">
      <c r="A63" s="148" t="s">
        <v>371</v>
      </c>
      <c r="B63" s="148" t="s">
        <v>38</v>
      </c>
      <c r="C63" s="148" t="s">
        <v>279</v>
      </c>
      <c r="D63" s="148" t="s">
        <v>280</v>
      </c>
      <c r="E63" s="160" t="s">
        <v>372</v>
      </c>
      <c r="F63" s="159">
        <v>161840</v>
      </c>
    </row>
    <row r="64" spans="1:6" ht="60.75">
      <c r="A64" s="148" t="s">
        <v>373</v>
      </c>
      <c r="B64" s="148" t="s">
        <v>38</v>
      </c>
      <c r="C64" s="148" t="s">
        <v>338</v>
      </c>
      <c r="D64" s="148" t="s">
        <v>292</v>
      </c>
      <c r="E64" s="160" t="s">
        <v>370</v>
      </c>
      <c r="F64" s="159">
        <v>214200</v>
      </c>
    </row>
    <row r="65" spans="1:6" ht="30.75">
      <c r="A65" s="148" t="s">
        <v>374</v>
      </c>
      <c r="B65" s="148" t="s">
        <v>38</v>
      </c>
      <c r="C65" s="148" t="s">
        <v>338</v>
      </c>
      <c r="D65" s="148" t="s">
        <v>292</v>
      </c>
      <c r="E65" s="160" t="s">
        <v>375</v>
      </c>
      <c r="F65" s="159">
        <v>189210</v>
      </c>
    </row>
    <row r="66" spans="1:6" ht="60.75">
      <c r="A66" s="148" t="s">
        <v>376</v>
      </c>
      <c r="B66" s="148" t="s">
        <v>38</v>
      </c>
      <c r="C66" s="148" t="s">
        <v>348</v>
      </c>
      <c r="D66" s="148" t="s">
        <v>353</v>
      </c>
      <c r="E66" s="160" t="s">
        <v>370</v>
      </c>
      <c r="F66" s="159">
        <v>214200</v>
      </c>
    </row>
    <row r="67" spans="1:6" ht="60.75">
      <c r="A67" s="148" t="s">
        <v>377</v>
      </c>
      <c r="B67" s="148" t="s">
        <v>38</v>
      </c>
      <c r="C67" s="148" t="s">
        <v>348</v>
      </c>
      <c r="D67" s="148" t="s">
        <v>268</v>
      </c>
      <c r="E67" s="160" t="s">
        <v>370</v>
      </c>
      <c r="F67" s="159">
        <v>214200</v>
      </c>
    </row>
    <row r="68" spans="1:6">
      <c r="A68" s="273" t="s">
        <v>365</v>
      </c>
      <c r="B68" s="273"/>
      <c r="C68" s="273"/>
      <c r="D68" s="273"/>
      <c r="E68" s="161"/>
      <c r="F68" s="159">
        <f>+SUM(F61:F67)</f>
        <v>5838848</v>
      </c>
    </row>
    <row r="69" spans="1:6">
      <c r="A69" s="163"/>
      <c r="B69" s="163"/>
      <c r="C69" s="163"/>
      <c r="D69" s="163"/>
      <c r="E69" s="163"/>
      <c r="F69" s="164"/>
    </row>
    <row r="70" spans="1:6">
      <c r="A70" s="163"/>
      <c r="B70" s="163"/>
      <c r="C70" s="165" t="s">
        <v>378</v>
      </c>
      <c r="D70" s="163"/>
      <c r="E70" s="132"/>
      <c r="F70" s="164"/>
    </row>
    <row r="71" spans="1:6" ht="30.75">
      <c r="A71" s="130" t="s">
        <v>245</v>
      </c>
      <c r="B71" s="130" t="s">
        <v>246</v>
      </c>
      <c r="C71" s="130" t="s">
        <v>247</v>
      </c>
      <c r="D71" s="131" t="s">
        <v>248</v>
      </c>
      <c r="E71" s="132" t="s">
        <v>249</v>
      </c>
      <c r="F71" s="130" t="s">
        <v>250</v>
      </c>
    </row>
    <row r="72" spans="1:6" ht="30.75">
      <c r="A72" s="148" t="s">
        <v>379</v>
      </c>
      <c r="B72" s="148" t="s">
        <v>380</v>
      </c>
      <c r="C72" s="148" t="s">
        <v>301</v>
      </c>
      <c r="D72" s="148" t="s">
        <v>274</v>
      </c>
      <c r="E72" s="160" t="s">
        <v>381</v>
      </c>
      <c r="F72" s="159">
        <v>1351476</v>
      </c>
    </row>
    <row r="73" spans="1:6" ht="30.75">
      <c r="A73" s="148" t="s">
        <v>382</v>
      </c>
      <c r="B73" s="148" t="s">
        <v>380</v>
      </c>
      <c r="C73" s="148" t="s">
        <v>348</v>
      </c>
      <c r="D73" s="148" t="s">
        <v>271</v>
      </c>
      <c r="E73" s="160" t="s">
        <v>383</v>
      </c>
      <c r="F73" s="159">
        <v>2804830</v>
      </c>
    </row>
    <row r="74" spans="1:6">
      <c r="A74" s="148" t="s">
        <v>384</v>
      </c>
      <c r="B74" s="148" t="s">
        <v>380</v>
      </c>
      <c r="C74" s="148" t="s">
        <v>385</v>
      </c>
      <c r="D74" s="148" t="s">
        <v>325</v>
      </c>
      <c r="E74" s="160" t="s">
        <v>386</v>
      </c>
      <c r="F74" s="159">
        <v>1370880</v>
      </c>
    </row>
    <row r="75" spans="1:6" ht="30.75">
      <c r="A75" s="148" t="s">
        <v>387</v>
      </c>
      <c r="B75" s="148" t="s">
        <v>380</v>
      </c>
      <c r="C75" s="148" t="s">
        <v>279</v>
      </c>
      <c r="D75" s="148" t="s">
        <v>280</v>
      </c>
      <c r="E75" s="160" t="s">
        <v>388</v>
      </c>
      <c r="F75" s="159">
        <v>618800</v>
      </c>
    </row>
    <row r="76" spans="1:6">
      <c r="A76" s="163"/>
      <c r="B76" s="274" t="s">
        <v>365</v>
      </c>
      <c r="C76" s="274"/>
      <c r="D76" s="274"/>
      <c r="E76" s="161"/>
      <c r="F76" s="166">
        <f>+SUM(F72:F75)</f>
        <v>6145986</v>
      </c>
    </row>
    <row r="77" spans="1:6">
      <c r="A77" s="163"/>
      <c r="B77" s="163"/>
      <c r="C77" s="163"/>
      <c r="D77" s="163"/>
      <c r="E77" s="163"/>
      <c r="F77" s="164"/>
    </row>
    <row r="78" spans="1:6">
      <c r="A78" s="163"/>
      <c r="B78" s="163"/>
      <c r="C78" s="163"/>
      <c r="D78" s="163"/>
      <c r="E78" s="163"/>
      <c r="F78" s="164"/>
    </row>
    <row r="79" spans="1:6">
      <c r="A79" s="163"/>
      <c r="B79" s="163"/>
      <c r="C79" s="165" t="s">
        <v>389</v>
      </c>
      <c r="D79" s="163"/>
      <c r="E79" s="132"/>
      <c r="F79" s="164"/>
    </row>
    <row r="80" spans="1:6" ht="30.75">
      <c r="A80" s="130" t="s">
        <v>245</v>
      </c>
      <c r="B80" s="130" t="s">
        <v>246</v>
      </c>
      <c r="C80" s="130" t="s">
        <v>247</v>
      </c>
      <c r="D80" s="131" t="s">
        <v>248</v>
      </c>
      <c r="E80" s="132" t="s">
        <v>249</v>
      </c>
      <c r="F80" s="130" t="s">
        <v>250</v>
      </c>
    </row>
    <row r="81" spans="1:6" ht="75.75">
      <c r="A81" s="148" t="s">
        <v>390</v>
      </c>
      <c r="B81" s="148" t="s">
        <v>391</v>
      </c>
      <c r="C81" s="148" t="s">
        <v>392</v>
      </c>
      <c r="D81" s="148" t="s">
        <v>46</v>
      </c>
      <c r="E81" s="160" t="s">
        <v>393</v>
      </c>
      <c r="F81" s="159">
        <v>261800</v>
      </c>
    </row>
    <row r="82" spans="1:6">
      <c r="A82" s="148" t="s">
        <v>394</v>
      </c>
      <c r="B82" s="148" t="s">
        <v>40</v>
      </c>
      <c r="C82" s="148" t="s">
        <v>395</v>
      </c>
      <c r="D82" s="148" t="s">
        <v>63</v>
      </c>
      <c r="E82" s="148" t="s">
        <v>396</v>
      </c>
      <c r="F82" s="159">
        <v>23800</v>
      </c>
    </row>
    <row r="83" spans="1:6">
      <c r="A83" s="148" t="s">
        <v>397</v>
      </c>
      <c r="B83" s="148" t="s">
        <v>391</v>
      </c>
      <c r="C83" s="148" t="s">
        <v>398</v>
      </c>
      <c r="D83" s="148" t="s">
        <v>47</v>
      </c>
      <c r="E83" s="148" t="s">
        <v>396</v>
      </c>
      <c r="F83" s="159">
        <v>47600</v>
      </c>
    </row>
    <row r="84" spans="1:6" ht="259.5" customHeight="1">
      <c r="A84" s="148" t="s">
        <v>399</v>
      </c>
      <c r="B84" s="148" t="s">
        <v>391</v>
      </c>
      <c r="C84" s="148" t="s">
        <v>400</v>
      </c>
      <c r="D84" s="148" t="s">
        <v>61</v>
      </c>
      <c r="E84" s="160" t="s">
        <v>401</v>
      </c>
      <c r="F84" s="159">
        <v>5520416</v>
      </c>
    </row>
    <row r="85" spans="1:6" ht="231" customHeight="1">
      <c r="A85" s="148" t="s">
        <v>402</v>
      </c>
      <c r="B85" s="148" t="s">
        <v>391</v>
      </c>
      <c r="C85" s="148" t="s">
        <v>400</v>
      </c>
      <c r="D85" s="148" t="s">
        <v>62</v>
      </c>
      <c r="E85" s="160" t="s">
        <v>403</v>
      </c>
      <c r="F85" s="159">
        <v>5210915</v>
      </c>
    </row>
    <row r="86" spans="1:6" ht="120.75">
      <c r="A86" s="148" t="s">
        <v>404</v>
      </c>
      <c r="B86" s="148" t="s">
        <v>391</v>
      </c>
      <c r="C86" s="148" t="s">
        <v>398</v>
      </c>
      <c r="D86" s="148" t="s">
        <v>48</v>
      </c>
      <c r="E86" s="160" t="s">
        <v>405</v>
      </c>
      <c r="F86" s="159">
        <v>3264606</v>
      </c>
    </row>
    <row r="87" spans="1:6" ht="251.25" customHeight="1">
      <c r="A87" s="148" t="s">
        <v>406</v>
      </c>
      <c r="B87" s="148" t="s">
        <v>391</v>
      </c>
      <c r="C87" s="148" t="s">
        <v>400</v>
      </c>
      <c r="D87" s="148" t="s">
        <v>60</v>
      </c>
      <c r="E87" s="160" t="s">
        <v>407</v>
      </c>
      <c r="F87" s="159">
        <v>4329673</v>
      </c>
    </row>
    <row r="88" spans="1:6" ht="210.75">
      <c r="A88" s="148" t="s">
        <v>408</v>
      </c>
      <c r="B88" s="148" t="s">
        <v>391</v>
      </c>
      <c r="C88" s="148" t="s">
        <v>263</v>
      </c>
      <c r="D88" s="148" t="s">
        <v>409</v>
      </c>
      <c r="E88" s="160" t="s">
        <v>410</v>
      </c>
      <c r="F88" s="159">
        <v>1309000</v>
      </c>
    </row>
    <row r="89" spans="1:6" ht="241.5" customHeight="1">
      <c r="A89" s="148" t="s">
        <v>411</v>
      </c>
      <c r="B89" s="148" t="s">
        <v>391</v>
      </c>
      <c r="C89" s="148" t="s">
        <v>400</v>
      </c>
      <c r="D89" s="148" t="s">
        <v>59</v>
      </c>
      <c r="E89" s="160" t="s">
        <v>412</v>
      </c>
      <c r="F89" s="159">
        <v>4739870</v>
      </c>
    </row>
    <row r="90" spans="1:6" ht="104.25" customHeight="1">
      <c r="A90" s="148" t="s">
        <v>413</v>
      </c>
      <c r="B90" s="148" t="s">
        <v>391</v>
      </c>
      <c r="C90" s="148" t="s">
        <v>398</v>
      </c>
      <c r="D90" s="148" t="s">
        <v>49</v>
      </c>
      <c r="E90" s="160" t="s">
        <v>414</v>
      </c>
      <c r="F90" s="159">
        <v>3487420</v>
      </c>
    </row>
    <row r="91" spans="1:6" ht="30.75">
      <c r="A91" s="148" t="s">
        <v>415</v>
      </c>
      <c r="B91" s="148" t="s">
        <v>391</v>
      </c>
      <c r="C91" s="148" t="s">
        <v>395</v>
      </c>
      <c r="D91" s="148" t="s">
        <v>63</v>
      </c>
      <c r="E91" s="160" t="s">
        <v>416</v>
      </c>
      <c r="F91" s="159">
        <v>300005</v>
      </c>
    </row>
    <row r="92" spans="1:6">
      <c r="A92" s="163"/>
      <c r="B92" s="163"/>
      <c r="C92" s="163"/>
      <c r="D92" s="163"/>
      <c r="E92" s="163"/>
      <c r="F92" s="164"/>
    </row>
    <row r="93" spans="1:6">
      <c r="A93" s="163"/>
      <c r="B93" s="163"/>
      <c r="C93" s="163"/>
      <c r="D93" s="163"/>
      <c r="E93" s="163"/>
      <c r="F93" s="167">
        <f>SUM(F81:F92)</f>
        <v>28495105</v>
      </c>
    </row>
  </sheetData>
  <mergeCells count="11">
    <mergeCell ref="A57:D57"/>
    <mergeCell ref="A68:D68"/>
    <mergeCell ref="B76:D76"/>
    <mergeCell ref="N4:N6"/>
    <mergeCell ref="N13:N16"/>
    <mergeCell ref="C12:D12"/>
    <mergeCell ref="D34:F34"/>
    <mergeCell ref="C41:D41"/>
    <mergeCell ref="D43:F43"/>
    <mergeCell ref="C47:D47"/>
    <mergeCell ref="E49:F4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M40"/>
  <sheetViews>
    <sheetView tabSelected="1" topLeftCell="A14" workbookViewId="0">
      <selection activeCell="A43" sqref="A43"/>
    </sheetView>
  </sheetViews>
  <sheetFormatPr baseColWidth="10" defaultRowHeight="15"/>
  <cols>
    <col min="1" max="1" width="37.42578125" customWidth="1"/>
    <col min="2" max="2" width="44.42578125" customWidth="1"/>
  </cols>
  <sheetData>
    <row r="1" spans="1:39">
      <c r="A1" s="175"/>
      <c r="B1" s="278" t="s">
        <v>157</v>
      </c>
      <c r="C1" s="278"/>
      <c r="D1" s="278"/>
      <c r="E1" s="278"/>
      <c r="F1" s="278"/>
      <c r="G1" s="278"/>
      <c r="H1" s="278"/>
      <c r="I1" s="278"/>
      <c r="J1" s="278"/>
      <c r="K1" s="278"/>
      <c r="L1" s="278"/>
      <c r="M1" s="278"/>
      <c r="N1" s="278"/>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7"/>
    </row>
    <row r="2" spans="1:39">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row>
    <row r="3" spans="1:39">
      <c r="A3" s="279" t="s">
        <v>235</v>
      </c>
      <c r="B3" s="279"/>
      <c r="C3" s="279"/>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7"/>
    </row>
    <row r="4" spans="1:39">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7"/>
    </row>
    <row r="5" spans="1:39">
      <c r="A5" s="280" t="s">
        <v>192</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2"/>
    </row>
    <row r="6" spans="1:39" ht="28.5" customHeight="1">
      <c r="A6" s="179" t="s">
        <v>193</v>
      </c>
      <c r="B6" s="179" t="s">
        <v>194</v>
      </c>
      <c r="C6" s="180" t="s">
        <v>195</v>
      </c>
      <c r="D6" s="283" t="s">
        <v>196</v>
      </c>
      <c r="E6" s="284"/>
      <c r="F6" s="180" t="s">
        <v>449</v>
      </c>
      <c r="G6" s="283" t="s">
        <v>196</v>
      </c>
      <c r="H6" s="284"/>
      <c r="I6" s="180" t="s">
        <v>450</v>
      </c>
      <c r="J6" s="283" t="s">
        <v>196</v>
      </c>
      <c r="K6" s="284"/>
      <c r="L6" s="180" t="s">
        <v>197</v>
      </c>
      <c r="M6" s="283" t="s">
        <v>196</v>
      </c>
      <c r="N6" s="284"/>
      <c r="O6" s="180" t="s">
        <v>197</v>
      </c>
      <c r="P6" s="283" t="s">
        <v>196</v>
      </c>
      <c r="Q6" s="284"/>
      <c r="R6" s="180" t="s">
        <v>197</v>
      </c>
      <c r="S6" s="283" t="s">
        <v>196</v>
      </c>
      <c r="T6" s="284"/>
      <c r="U6" s="180" t="s">
        <v>197</v>
      </c>
      <c r="V6" s="283" t="s">
        <v>196</v>
      </c>
      <c r="W6" s="284"/>
      <c r="X6" s="180" t="s">
        <v>197</v>
      </c>
      <c r="Y6" s="283" t="s">
        <v>196</v>
      </c>
      <c r="Z6" s="284"/>
      <c r="AA6" s="180" t="s">
        <v>197</v>
      </c>
      <c r="AB6" s="283" t="s">
        <v>196</v>
      </c>
      <c r="AC6" s="284"/>
      <c r="AD6" s="180" t="s">
        <v>197</v>
      </c>
      <c r="AE6" s="283" t="s">
        <v>196</v>
      </c>
      <c r="AF6" s="284"/>
      <c r="AG6" s="180" t="s">
        <v>197</v>
      </c>
      <c r="AH6" s="283" t="s">
        <v>196</v>
      </c>
      <c r="AI6" s="284"/>
      <c r="AJ6" s="180" t="s">
        <v>197</v>
      </c>
      <c r="AK6" s="283" t="s">
        <v>196</v>
      </c>
      <c r="AL6" s="284"/>
      <c r="AM6" s="180" t="s">
        <v>168</v>
      </c>
    </row>
    <row r="7" spans="1:39" ht="4.5" hidden="1" customHeight="1">
      <c r="A7" s="181"/>
      <c r="B7" s="181"/>
      <c r="C7" s="181"/>
      <c r="D7" s="285"/>
      <c r="E7" s="286"/>
      <c r="F7" s="182" t="s">
        <v>451</v>
      </c>
      <c r="G7" s="285"/>
      <c r="H7" s="286"/>
      <c r="I7" s="183" t="s">
        <v>452</v>
      </c>
      <c r="J7" s="285"/>
      <c r="K7" s="286"/>
      <c r="L7" s="181"/>
      <c r="M7" s="285"/>
      <c r="N7" s="286"/>
      <c r="O7" s="181"/>
      <c r="P7" s="285"/>
      <c r="Q7" s="286"/>
      <c r="R7" s="181"/>
      <c r="S7" s="285"/>
      <c r="T7" s="286"/>
      <c r="U7" s="181"/>
      <c r="V7" s="285"/>
      <c r="W7" s="286"/>
      <c r="X7" s="181"/>
      <c r="Y7" s="285"/>
      <c r="Z7" s="286"/>
      <c r="AA7" s="181"/>
      <c r="AB7" s="285"/>
      <c r="AC7" s="286"/>
      <c r="AD7" s="181"/>
      <c r="AE7" s="285"/>
      <c r="AF7" s="286"/>
      <c r="AG7" s="181"/>
      <c r="AH7" s="285"/>
      <c r="AI7" s="286"/>
      <c r="AJ7" s="181"/>
      <c r="AK7" s="285"/>
      <c r="AL7" s="286"/>
      <c r="AM7" s="181"/>
    </row>
    <row r="8" spans="1:39">
      <c r="A8" s="184"/>
      <c r="B8" s="184"/>
      <c r="C8" s="185"/>
      <c r="D8" s="186" t="s">
        <v>172</v>
      </c>
      <c r="E8" s="187" t="s">
        <v>173</v>
      </c>
      <c r="F8" s="185"/>
      <c r="G8" s="186" t="s">
        <v>172</v>
      </c>
      <c r="H8" s="187" t="s">
        <v>173</v>
      </c>
      <c r="I8" s="185"/>
      <c r="J8" s="186" t="s">
        <v>172</v>
      </c>
      <c r="K8" s="187" t="s">
        <v>173</v>
      </c>
      <c r="L8" s="185"/>
      <c r="M8" s="186" t="s">
        <v>172</v>
      </c>
      <c r="N8" s="187" t="s">
        <v>173</v>
      </c>
      <c r="O8" s="185"/>
      <c r="P8" s="186" t="s">
        <v>172</v>
      </c>
      <c r="Q8" s="187" t="s">
        <v>173</v>
      </c>
      <c r="R8" s="185"/>
      <c r="S8" s="186" t="s">
        <v>172</v>
      </c>
      <c r="T8" s="187" t="s">
        <v>173</v>
      </c>
      <c r="U8" s="185"/>
      <c r="V8" s="186" t="s">
        <v>172</v>
      </c>
      <c r="W8" s="187" t="s">
        <v>173</v>
      </c>
      <c r="X8" s="185"/>
      <c r="Y8" s="186" t="s">
        <v>172</v>
      </c>
      <c r="Z8" s="187" t="s">
        <v>173</v>
      </c>
      <c r="AA8" s="185"/>
      <c r="AB8" s="186" t="s">
        <v>172</v>
      </c>
      <c r="AC8" s="187" t="s">
        <v>173</v>
      </c>
      <c r="AD8" s="185"/>
      <c r="AE8" s="186" t="s">
        <v>172</v>
      </c>
      <c r="AF8" s="187" t="s">
        <v>173</v>
      </c>
      <c r="AG8" s="185"/>
      <c r="AH8" s="186" t="s">
        <v>172</v>
      </c>
      <c r="AI8" s="187" t="s">
        <v>173</v>
      </c>
      <c r="AJ8" s="185"/>
      <c r="AK8" s="186" t="s">
        <v>172</v>
      </c>
      <c r="AL8" s="187" t="s">
        <v>173</v>
      </c>
      <c r="AM8" s="185"/>
    </row>
    <row r="9" spans="1:39">
      <c r="A9" s="188" t="s">
        <v>198</v>
      </c>
      <c r="B9" s="189" t="s">
        <v>199</v>
      </c>
      <c r="C9" s="190">
        <v>44126</v>
      </c>
      <c r="D9" s="189">
        <v>1</v>
      </c>
      <c r="E9" s="189"/>
      <c r="F9" s="190">
        <v>44153</v>
      </c>
      <c r="G9" s="189">
        <v>1</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v>0</v>
      </c>
    </row>
    <row r="10" spans="1:39">
      <c r="A10" s="188"/>
      <c r="B10" s="177"/>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v>0</v>
      </c>
    </row>
    <row r="11" spans="1:39">
      <c r="A11" s="188" t="s">
        <v>200</v>
      </c>
      <c r="B11" s="177"/>
      <c r="C11" s="189"/>
      <c r="D11" s="189"/>
      <c r="E11" s="189"/>
      <c r="F11" s="189"/>
      <c r="G11" s="189"/>
      <c r="H11" s="189"/>
      <c r="I11" s="189"/>
      <c r="J11" s="189"/>
      <c r="K11" s="189"/>
      <c r="L11" s="189"/>
      <c r="M11" s="189"/>
      <c r="N11" s="189"/>
      <c r="O11" s="189"/>
      <c r="P11" s="189"/>
      <c r="Q11" s="189"/>
      <c r="R11" s="177"/>
      <c r="S11" s="177"/>
      <c r="T11" s="189"/>
      <c r="U11" s="189"/>
      <c r="V11" s="189"/>
      <c r="W11" s="189"/>
      <c r="X11" s="189"/>
      <c r="Y11" s="189"/>
      <c r="Z11" s="189"/>
      <c r="AA11" s="189"/>
      <c r="AB11" s="189"/>
      <c r="AC11" s="189"/>
      <c r="AD11" s="189"/>
      <c r="AE11" s="189"/>
      <c r="AF11" s="189"/>
      <c r="AG11" s="189"/>
      <c r="AH11" s="189"/>
      <c r="AI11" s="189"/>
      <c r="AJ11" s="189"/>
      <c r="AK11" s="189"/>
      <c r="AL11" s="189"/>
      <c r="AM11" s="189">
        <v>0</v>
      </c>
    </row>
    <row r="12" spans="1:39" ht="34.5" customHeight="1">
      <c r="A12" s="191" t="s">
        <v>201</v>
      </c>
      <c r="B12" s="192" t="s">
        <v>445</v>
      </c>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v>0</v>
      </c>
    </row>
    <row r="13" spans="1:39">
      <c r="A13" s="188" t="s">
        <v>202</v>
      </c>
      <c r="B13" s="193"/>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v>0</v>
      </c>
    </row>
    <row r="14" spans="1:39">
      <c r="A14" s="194" t="s">
        <v>203</v>
      </c>
      <c r="B14" s="189" t="s">
        <v>204</v>
      </c>
      <c r="C14" s="190">
        <v>44078</v>
      </c>
      <c r="D14" s="189">
        <v>7</v>
      </c>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77"/>
      <c r="AE14" s="177"/>
      <c r="AF14" s="189"/>
      <c r="AG14" s="189"/>
      <c r="AH14" s="189"/>
      <c r="AI14" s="189"/>
      <c r="AJ14" s="189"/>
      <c r="AK14" s="189"/>
      <c r="AL14" s="189"/>
      <c r="AM14" s="189">
        <v>7</v>
      </c>
    </row>
    <row r="15" spans="1:39">
      <c r="A15" s="194" t="s">
        <v>205</v>
      </c>
      <c r="B15" s="189" t="s">
        <v>206</v>
      </c>
      <c r="C15" s="190">
        <v>44077</v>
      </c>
      <c r="D15" s="189"/>
      <c r="E15" s="189">
        <v>120</v>
      </c>
      <c r="F15" s="190">
        <v>44022</v>
      </c>
      <c r="G15" s="189">
        <v>40</v>
      </c>
      <c r="H15" s="189">
        <v>40</v>
      </c>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v>200</v>
      </c>
    </row>
    <row r="16" spans="1:39">
      <c r="A16" s="188" t="s">
        <v>207</v>
      </c>
      <c r="B16" s="195"/>
      <c r="C16" s="196"/>
      <c r="D16" s="196"/>
      <c r="E16" s="196"/>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v>4</v>
      </c>
    </row>
    <row r="17" spans="1:39">
      <c r="A17" s="194" t="s">
        <v>208</v>
      </c>
      <c r="B17" s="189" t="s">
        <v>209</v>
      </c>
      <c r="C17" s="190">
        <v>44120</v>
      </c>
      <c r="D17" s="189">
        <v>1</v>
      </c>
      <c r="E17" s="189"/>
      <c r="F17" s="189"/>
      <c r="G17" s="189"/>
      <c r="H17" s="189"/>
      <c r="I17" s="196"/>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v>0</v>
      </c>
    </row>
    <row r="18" spans="1:39">
      <c r="A18" s="194"/>
      <c r="B18" s="192" t="s">
        <v>182</v>
      </c>
      <c r="C18" s="190">
        <v>44104</v>
      </c>
      <c r="D18" s="189">
        <v>1</v>
      </c>
      <c r="E18" s="189"/>
      <c r="F18" s="190">
        <v>44139</v>
      </c>
      <c r="G18" s="189">
        <v>2</v>
      </c>
      <c r="H18" s="189"/>
      <c r="I18" s="196"/>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t="e">
        <v>#REF!</v>
      </c>
    </row>
    <row r="19" spans="1:39">
      <c r="A19" s="194"/>
      <c r="B19" s="189" t="s">
        <v>210</v>
      </c>
      <c r="C19" s="190">
        <v>44117</v>
      </c>
      <c r="D19" s="189">
        <v>3</v>
      </c>
      <c r="E19" s="189"/>
      <c r="F19" s="190">
        <v>44126</v>
      </c>
      <c r="G19" s="189">
        <v>20</v>
      </c>
      <c r="H19" s="189"/>
      <c r="I19" s="190">
        <v>44144</v>
      </c>
      <c r="J19" s="189">
        <v>3</v>
      </c>
      <c r="K19" s="189">
        <v>1</v>
      </c>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v>0</v>
      </c>
    </row>
    <row r="20" spans="1:39">
      <c r="A20" s="194"/>
      <c r="B20" s="189" t="s">
        <v>226</v>
      </c>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v>0</v>
      </c>
    </row>
    <row r="21" spans="1:39">
      <c r="A21" s="194"/>
      <c r="B21" s="189" t="s">
        <v>185</v>
      </c>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v>0</v>
      </c>
    </row>
    <row r="22" spans="1:39">
      <c r="A22" s="194"/>
      <c r="B22" s="189" t="s">
        <v>183</v>
      </c>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v>0</v>
      </c>
    </row>
    <row r="23" spans="1:39">
      <c r="A23" s="194"/>
      <c r="B23" s="189" t="s">
        <v>184</v>
      </c>
      <c r="C23" s="37">
        <v>44130</v>
      </c>
      <c r="D23">
        <v>5</v>
      </c>
      <c r="E23" s="197"/>
      <c r="F23" s="189"/>
      <c r="G23" s="189"/>
      <c r="H23" s="189"/>
      <c r="I23" s="196"/>
      <c r="J23" s="196"/>
      <c r="K23" s="196"/>
      <c r="L23" s="189"/>
      <c r="M23" s="189"/>
      <c r="N23" s="189"/>
      <c r="O23" s="189"/>
      <c r="P23" s="189"/>
      <c r="Q23" s="189"/>
      <c r="R23" s="177"/>
      <c r="S23" s="177"/>
      <c r="T23" s="177"/>
      <c r="U23" s="189"/>
      <c r="V23" s="189"/>
      <c r="W23" s="189"/>
      <c r="X23" s="189"/>
      <c r="Y23" s="189"/>
      <c r="Z23" s="189"/>
      <c r="AA23" s="189"/>
      <c r="AB23" s="189"/>
      <c r="AC23" s="189"/>
      <c r="AD23" s="189"/>
      <c r="AE23" s="189"/>
      <c r="AF23" s="189"/>
      <c r="AG23" s="189"/>
      <c r="AH23" s="189"/>
      <c r="AI23" s="189"/>
      <c r="AJ23" s="189"/>
      <c r="AK23" s="189"/>
      <c r="AL23" s="189"/>
      <c r="AM23" s="189">
        <v>0</v>
      </c>
    </row>
    <row r="24" spans="1:39">
      <c r="A24" s="194"/>
      <c r="B24" s="189" t="s">
        <v>186</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v>0</v>
      </c>
    </row>
    <row r="25" spans="1:39">
      <c r="A25" s="194"/>
      <c r="B25" s="189" t="s">
        <v>234</v>
      </c>
      <c r="C25" s="190">
        <v>44074</v>
      </c>
      <c r="D25" s="189"/>
      <c r="E25" s="189">
        <v>4</v>
      </c>
      <c r="F25" s="190">
        <v>44119</v>
      </c>
      <c r="G25" s="189">
        <v>5</v>
      </c>
      <c r="H25" s="189"/>
      <c r="I25" s="190">
        <v>44145</v>
      </c>
      <c r="J25" s="189">
        <v>7</v>
      </c>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t="e">
        <v>#REF!</v>
      </c>
    </row>
    <row r="26" spans="1:39">
      <c r="A26" s="194"/>
      <c r="B26" s="189" t="s">
        <v>179</v>
      </c>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v>0</v>
      </c>
    </row>
    <row r="27" spans="1:39" ht="22.5" customHeight="1">
      <c r="A27" s="194"/>
      <c r="B27" s="192" t="s">
        <v>225</v>
      </c>
      <c r="C27" s="190">
        <v>44104</v>
      </c>
      <c r="D27" s="189">
        <v>6</v>
      </c>
      <c r="E27" s="189"/>
      <c r="F27" s="190">
        <v>44141</v>
      </c>
      <c r="G27" s="189">
        <v>5</v>
      </c>
      <c r="H27" s="189"/>
      <c r="I27" s="190">
        <v>44153</v>
      </c>
      <c r="J27" s="189">
        <v>8</v>
      </c>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t="e">
        <v>#REF!</v>
      </c>
    </row>
    <row r="28" spans="1:39" ht="21" customHeight="1">
      <c r="A28" s="194" t="s">
        <v>211</v>
      </c>
      <c r="B28" s="192" t="s">
        <v>212</v>
      </c>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v>0</v>
      </c>
    </row>
    <row r="29" spans="1:39" ht="23.25" customHeight="1">
      <c r="A29" s="194" t="s">
        <v>213</v>
      </c>
      <c r="B29" s="192" t="s">
        <v>214</v>
      </c>
      <c r="C29" s="190">
        <v>44134</v>
      </c>
      <c r="D29" s="189">
        <v>2</v>
      </c>
      <c r="E29" s="189">
        <v>1</v>
      </c>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v>0</v>
      </c>
    </row>
    <row r="30" spans="1:39">
      <c r="A30" s="194"/>
      <c r="B30" s="192" t="s">
        <v>215</v>
      </c>
      <c r="C30" s="190">
        <v>44085</v>
      </c>
      <c r="D30" s="189">
        <v>13</v>
      </c>
      <c r="E30" s="189"/>
      <c r="F30" s="190">
        <v>44146</v>
      </c>
      <c r="G30" s="189">
        <v>4</v>
      </c>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v>13</v>
      </c>
    </row>
    <row r="31" spans="1:39">
      <c r="A31" s="188" t="s">
        <v>216</v>
      </c>
      <c r="B31" s="189"/>
      <c r="C31" s="198"/>
      <c r="D31" s="198"/>
      <c r="E31" s="198"/>
      <c r="F31" s="198"/>
      <c r="G31" s="198"/>
      <c r="H31" s="198"/>
      <c r="I31" s="198"/>
      <c r="J31" s="198"/>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v>0</v>
      </c>
    </row>
    <row r="32" spans="1:39" ht="20.25" customHeight="1">
      <c r="A32" s="199" t="s">
        <v>217</v>
      </c>
      <c r="B32" s="200" t="s">
        <v>446</v>
      </c>
      <c r="C32" s="172">
        <v>44146</v>
      </c>
      <c r="D32" s="173">
        <v>2</v>
      </c>
      <c r="E32" s="173"/>
      <c r="F32" s="173"/>
      <c r="G32" s="173"/>
      <c r="H32" s="173"/>
      <c r="I32" s="173"/>
      <c r="J32" s="173"/>
      <c r="K32" s="201"/>
      <c r="L32" s="189"/>
      <c r="M32" s="189"/>
      <c r="N32" s="189"/>
      <c r="O32" s="189"/>
      <c r="P32" s="189"/>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v>5</v>
      </c>
    </row>
    <row r="33" spans="1:39">
      <c r="A33" s="174"/>
      <c r="B33" s="202" t="s">
        <v>171</v>
      </c>
      <c r="C33" s="203">
        <v>44090</v>
      </c>
      <c r="D33" s="204">
        <v>5</v>
      </c>
      <c r="E33" s="204"/>
      <c r="F33" s="203">
        <v>44119</v>
      </c>
      <c r="G33" s="204">
        <v>1</v>
      </c>
      <c r="H33" s="204"/>
      <c r="I33" s="203">
        <v>44130</v>
      </c>
      <c r="J33" s="204">
        <v>7</v>
      </c>
      <c r="K33" s="189"/>
      <c r="L33" s="189"/>
      <c r="M33" s="189"/>
      <c r="N33" s="189"/>
      <c r="O33" s="189"/>
      <c r="P33" s="189"/>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row>
    <row r="34" spans="1:39" ht="21.75" customHeight="1">
      <c r="A34" s="194"/>
      <c r="B34" s="192" t="s">
        <v>447</v>
      </c>
      <c r="C34" s="190">
        <v>44096</v>
      </c>
      <c r="D34" s="189">
        <v>2</v>
      </c>
      <c r="E34" s="189">
        <v>2</v>
      </c>
      <c r="F34" s="190">
        <v>44096</v>
      </c>
      <c r="G34" s="189">
        <v>2</v>
      </c>
      <c r="H34" s="189">
        <v>2</v>
      </c>
      <c r="I34" s="190">
        <v>44096</v>
      </c>
      <c r="J34" s="189">
        <v>2</v>
      </c>
      <c r="K34" s="189">
        <v>2</v>
      </c>
      <c r="L34" s="190">
        <v>44096</v>
      </c>
      <c r="M34" s="189">
        <v>2</v>
      </c>
      <c r="N34" s="189">
        <v>2</v>
      </c>
      <c r="O34" s="190">
        <v>44096</v>
      </c>
      <c r="P34" s="189">
        <v>4</v>
      </c>
      <c r="Q34" s="189"/>
      <c r="R34" s="190">
        <v>44146</v>
      </c>
      <c r="S34" s="189">
        <v>5</v>
      </c>
      <c r="T34" s="189"/>
      <c r="U34" s="190">
        <v>44177</v>
      </c>
      <c r="V34" s="189">
        <v>5</v>
      </c>
      <c r="W34" s="189">
        <v>5</v>
      </c>
      <c r="X34" s="189"/>
      <c r="Y34" s="189"/>
      <c r="Z34" s="189"/>
      <c r="AA34" s="189"/>
      <c r="AB34" s="189"/>
      <c r="AC34" s="189"/>
      <c r="AD34" s="189"/>
      <c r="AE34" s="189"/>
      <c r="AF34" s="189"/>
      <c r="AG34" s="189"/>
      <c r="AH34" s="189"/>
      <c r="AI34" s="189"/>
      <c r="AJ34" s="189"/>
      <c r="AK34" s="189"/>
      <c r="AL34" s="189"/>
      <c r="AM34" s="205">
        <v>5</v>
      </c>
    </row>
    <row r="35" spans="1:39">
      <c r="A35" s="194"/>
      <c r="B35" s="189" t="s">
        <v>233</v>
      </c>
      <c r="C35" s="190">
        <v>44144</v>
      </c>
      <c r="D35" s="189">
        <v>2</v>
      </c>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v>19</v>
      </c>
    </row>
    <row r="36" spans="1:39" ht="18.75" customHeight="1">
      <c r="A36" s="194"/>
      <c r="B36" s="192" t="s">
        <v>227</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v>0</v>
      </c>
    </row>
    <row r="37" spans="1:39" ht="23.25" customHeight="1">
      <c r="A37" s="188" t="s">
        <v>218</v>
      </c>
      <c r="B37" s="192" t="s">
        <v>219</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v>0</v>
      </c>
    </row>
    <row r="38" spans="1:39" ht="22.5" customHeight="1">
      <c r="A38" s="188" t="s">
        <v>220</v>
      </c>
      <c r="B38" s="192" t="s">
        <v>221</v>
      </c>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v>0</v>
      </c>
    </row>
    <row r="39" spans="1:39">
      <c r="A39" s="194"/>
      <c r="B39" s="189" t="s">
        <v>448</v>
      </c>
      <c r="C39" s="190">
        <v>44165</v>
      </c>
      <c r="D39" s="189">
        <v>5</v>
      </c>
      <c r="E39" s="189">
        <v>5</v>
      </c>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v>0</v>
      </c>
    </row>
    <row r="40" spans="1:39">
      <c r="A40" s="278" t="s">
        <v>222</v>
      </c>
      <c r="B40" s="278"/>
      <c r="C40" s="177"/>
      <c r="D40" s="206">
        <v>34</v>
      </c>
      <c r="E40" s="206">
        <v>126</v>
      </c>
      <c r="F40" s="177"/>
      <c r="G40" s="206">
        <v>42</v>
      </c>
      <c r="H40" s="206">
        <v>42</v>
      </c>
      <c r="I40" s="177"/>
      <c r="J40" s="206">
        <v>2</v>
      </c>
      <c r="K40" s="206">
        <v>2</v>
      </c>
      <c r="L40" s="177"/>
      <c r="M40" s="206">
        <v>2</v>
      </c>
      <c r="N40" s="206">
        <v>2</v>
      </c>
      <c r="O40" s="177"/>
      <c r="P40" s="206">
        <v>4</v>
      </c>
      <c r="Q40" s="206">
        <v>0</v>
      </c>
      <c r="R40" s="177"/>
      <c r="S40" s="206">
        <v>0</v>
      </c>
      <c r="T40" s="206">
        <v>0</v>
      </c>
      <c r="U40" s="177"/>
      <c r="V40" s="177"/>
      <c r="W40" s="177"/>
      <c r="X40" s="177"/>
      <c r="Y40" s="206">
        <v>0</v>
      </c>
      <c r="Z40" s="206">
        <v>0</v>
      </c>
      <c r="AA40" s="177"/>
      <c r="AB40" s="206">
        <v>0</v>
      </c>
      <c r="AC40" s="206">
        <v>0</v>
      </c>
      <c r="AD40" s="177"/>
      <c r="AE40" s="206">
        <v>0</v>
      </c>
      <c r="AF40" s="206">
        <v>0</v>
      </c>
      <c r="AG40" s="177"/>
      <c r="AH40" s="206">
        <v>0</v>
      </c>
      <c r="AI40" s="206">
        <v>0</v>
      </c>
      <c r="AJ40" s="177"/>
      <c r="AK40" s="206">
        <v>0</v>
      </c>
      <c r="AL40" s="206">
        <v>0</v>
      </c>
      <c r="AM40" s="189" t="e">
        <v>#REF!</v>
      </c>
    </row>
  </sheetData>
  <mergeCells count="16">
    <mergeCell ref="A40:B40"/>
    <mergeCell ref="B1:N1"/>
    <mergeCell ref="A3:C3"/>
    <mergeCell ref="A5:AM5"/>
    <mergeCell ref="D6:E7"/>
    <mergeCell ref="G6:H7"/>
    <mergeCell ref="J6:K7"/>
    <mergeCell ref="M6:N7"/>
    <mergeCell ref="P6:Q7"/>
    <mergeCell ref="S6:T7"/>
    <mergeCell ref="V6:W7"/>
    <mergeCell ref="Y6:Z7"/>
    <mergeCell ref="AB6:AC7"/>
    <mergeCell ref="AE6:AF7"/>
    <mergeCell ref="AH6:AI7"/>
    <mergeCell ref="AK6:AL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L48"/>
  <sheetViews>
    <sheetView workbookViewId="0">
      <selection activeCell="AR6" sqref="AR6"/>
    </sheetView>
  </sheetViews>
  <sheetFormatPr baseColWidth="10" defaultRowHeight="15"/>
  <cols>
    <col min="3" max="62" width="5.42578125" customWidth="1"/>
  </cols>
  <sheetData>
    <row r="1" spans="1:64">
      <c r="A1" s="79"/>
      <c r="C1" s="288" t="s">
        <v>157</v>
      </c>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row>
    <row r="2" spans="1:64">
      <c r="A2" s="79"/>
      <c r="C2" s="288" t="s">
        <v>158</v>
      </c>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row>
    <row r="3" spans="1:64">
      <c r="A3" s="79"/>
      <c r="G3" s="16"/>
      <c r="L3" s="16"/>
      <c r="Q3" s="16"/>
      <c r="V3" s="16"/>
    </row>
    <row r="4" spans="1:64">
      <c r="A4" s="79"/>
      <c r="B4" s="83" t="s">
        <v>159</v>
      </c>
      <c r="C4" s="83"/>
      <c r="D4" s="289" t="s">
        <v>457</v>
      </c>
      <c r="E4" s="289"/>
      <c r="F4" s="289"/>
      <c r="G4" s="289"/>
      <c r="H4" s="289"/>
      <c r="I4" s="289"/>
      <c r="J4" s="289"/>
      <c r="K4" s="289"/>
      <c r="L4" s="289"/>
      <c r="Q4" s="16"/>
      <c r="V4" s="16"/>
    </row>
    <row r="5" spans="1:64">
      <c r="A5" s="79"/>
      <c r="B5" s="16" t="s">
        <v>160</v>
      </c>
      <c r="D5" s="290" t="s">
        <v>458</v>
      </c>
      <c r="E5" s="290"/>
      <c r="F5" s="290"/>
      <c r="G5" s="290"/>
      <c r="H5" s="290"/>
      <c r="I5" s="290"/>
      <c r="J5" s="290"/>
      <c r="K5" s="290"/>
      <c r="L5" s="290"/>
      <c r="Q5" s="16"/>
      <c r="V5" s="16"/>
    </row>
    <row r="6" spans="1:64">
      <c r="A6" s="79"/>
      <c r="B6" s="83" t="s">
        <v>161</v>
      </c>
      <c r="C6" s="83"/>
      <c r="D6" s="289" t="s">
        <v>453</v>
      </c>
      <c r="E6" s="289"/>
      <c r="F6" s="289"/>
      <c r="G6" s="289"/>
      <c r="H6" s="289"/>
      <c r="I6" s="289"/>
      <c r="J6" s="289"/>
      <c r="K6" s="289"/>
      <c r="L6" s="289"/>
      <c r="Q6" s="16"/>
      <c r="V6" s="16"/>
    </row>
    <row r="7" spans="1:64">
      <c r="A7" s="79"/>
      <c r="B7" s="83" t="s">
        <v>455</v>
      </c>
      <c r="C7" s="83"/>
      <c r="E7" s="84"/>
      <c r="F7" s="84"/>
      <c r="G7" s="287" t="s">
        <v>456</v>
      </c>
      <c r="H7" s="287"/>
      <c r="I7" s="287"/>
      <c r="J7" s="287"/>
      <c r="K7" s="287"/>
      <c r="L7" s="287"/>
      <c r="Q7" s="16"/>
      <c r="V7" s="16"/>
      <c r="BK7">
        <f>BJ11+BE11+AZ11+AU11+AP11+AK11+AF11+AA11+V11+Q11+L11+G11</f>
        <v>26</v>
      </c>
    </row>
    <row r="8" spans="1:64">
      <c r="A8" s="79"/>
      <c r="G8" s="16"/>
      <c r="L8" s="16"/>
      <c r="Q8" s="16"/>
      <c r="V8" s="16"/>
    </row>
    <row r="9" spans="1:64">
      <c r="A9" s="79"/>
      <c r="C9" s="291" t="s">
        <v>34</v>
      </c>
      <c r="D9" s="292"/>
      <c r="E9" s="292"/>
      <c r="F9" s="292"/>
      <c r="G9" s="293"/>
      <c r="H9" s="291" t="s">
        <v>9</v>
      </c>
      <c r="I9" s="292"/>
      <c r="J9" s="292"/>
      <c r="K9" s="292"/>
      <c r="L9" s="293"/>
      <c r="M9" s="291" t="s">
        <v>10</v>
      </c>
      <c r="N9" s="292"/>
      <c r="O9" s="292"/>
      <c r="P9" s="292"/>
      <c r="Q9" s="293"/>
      <c r="R9" s="291" t="s">
        <v>35</v>
      </c>
      <c r="S9" s="292"/>
      <c r="T9" s="292"/>
      <c r="U9" s="292"/>
      <c r="V9" s="293"/>
      <c r="W9" s="291" t="s">
        <v>36</v>
      </c>
      <c r="X9" s="292"/>
      <c r="Y9" s="292"/>
      <c r="Z9" s="292"/>
      <c r="AA9" s="293"/>
      <c r="AB9" s="291" t="s">
        <v>37</v>
      </c>
      <c r="AC9" s="292"/>
      <c r="AD9" s="292"/>
      <c r="AE9" s="292"/>
      <c r="AF9" s="293"/>
      <c r="AG9" s="291" t="s">
        <v>38</v>
      </c>
      <c r="AH9" s="292"/>
      <c r="AI9" s="292"/>
      <c r="AJ9" s="292"/>
      <c r="AK9" s="293"/>
      <c r="AL9" s="291" t="s">
        <v>39</v>
      </c>
      <c r="AM9" s="292"/>
      <c r="AN9" s="292"/>
      <c r="AO9" s="292"/>
      <c r="AP9" s="293"/>
      <c r="AQ9" s="291" t="s">
        <v>40</v>
      </c>
      <c r="AR9" s="292"/>
      <c r="AS9" s="292"/>
      <c r="AT9" s="292"/>
      <c r="AU9" s="293"/>
      <c r="AV9" s="291" t="s">
        <v>41</v>
      </c>
      <c r="AW9" s="292"/>
      <c r="AX9" s="292"/>
      <c r="AY9" s="292"/>
      <c r="AZ9" s="293"/>
      <c r="BA9" s="291" t="s">
        <v>42</v>
      </c>
      <c r="BB9" s="292"/>
      <c r="BC9" s="292"/>
      <c r="BD9" s="292"/>
      <c r="BE9" s="293"/>
      <c r="BF9" s="291" t="s">
        <v>43</v>
      </c>
      <c r="BG9" s="292"/>
      <c r="BH9" s="292"/>
      <c r="BI9" s="292"/>
      <c r="BJ9" s="293"/>
    </row>
    <row r="10" spans="1:64" ht="54">
      <c r="A10" s="85" t="s">
        <v>162</v>
      </c>
      <c r="B10" s="86" t="s">
        <v>163</v>
      </c>
      <c r="C10" s="87" t="s">
        <v>164</v>
      </c>
      <c r="D10" s="87" t="s">
        <v>165</v>
      </c>
      <c r="E10" s="87" t="s">
        <v>166</v>
      </c>
      <c r="F10" s="87" t="s">
        <v>167</v>
      </c>
      <c r="G10" s="87" t="s">
        <v>168</v>
      </c>
      <c r="H10" s="87" t="s">
        <v>164</v>
      </c>
      <c r="I10" s="87" t="s">
        <v>165</v>
      </c>
      <c r="J10" s="87" t="s">
        <v>166</v>
      </c>
      <c r="K10" s="87" t="s">
        <v>167</v>
      </c>
      <c r="L10" s="87" t="s">
        <v>168</v>
      </c>
      <c r="M10" s="87" t="s">
        <v>164</v>
      </c>
      <c r="N10" s="87" t="s">
        <v>165</v>
      </c>
      <c r="O10" s="87" t="s">
        <v>166</v>
      </c>
      <c r="P10" s="87" t="s">
        <v>167</v>
      </c>
      <c r="Q10" s="87" t="s">
        <v>168</v>
      </c>
      <c r="R10" s="87" t="s">
        <v>164</v>
      </c>
      <c r="S10" s="87" t="s">
        <v>165</v>
      </c>
      <c r="T10" s="87" t="s">
        <v>166</v>
      </c>
      <c r="U10" s="87" t="s">
        <v>167</v>
      </c>
      <c r="V10" s="87" t="s">
        <v>168</v>
      </c>
      <c r="W10" s="87" t="s">
        <v>164</v>
      </c>
      <c r="X10" s="87" t="s">
        <v>165</v>
      </c>
      <c r="Y10" s="87" t="s">
        <v>166</v>
      </c>
      <c r="Z10" s="87" t="s">
        <v>167</v>
      </c>
      <c r="AA10" s="87" t="s">
        <v>168</v>
      </c>
      <c r="AB10" s="87" t="s">
        <v>164</v>
      </c>
      <c r="AC10" s="87" t="s">
        <v>165</v>
      </c>
      <c r="AD10" s="87" t="s">
        <v>166</v>
      </c>
      <c r="AE10" s="87" t="s">
        <v>167</v>
      </c>
      <c r="AF10" s="87" t="s">
        <v>168</v>
      </c>
      <c r="AG10" s="87" t="s">
        <v>164</v>
      </c>
      <c r="AH10" s="87" t="s">
        <v>165</v>
      </c>
      <c r="AI10" s="87" t="s">
        <v>166</v>
      </c>
      <c r="AJ10" s="87" t="s">
        <v>167</v>
      </c>
      <c r="AK10" s="87" t="s">
        <v>168</v>
      </c>
      <c r="AL10" s="87" t="s">
        <v>164</v>
      </c>
      <c r="AM10" s="87" t="s">
        <v>165</v>
      </c>
      <c r="AN10" s="87" t="s">
        <v>166</v>
      </c>
      <c r="AO10" s="87" t="s">
        <v>167</v>
      </c>
      <c r="AP10" s="87" t="s">
        <v>168</v>
      </c>
      <c r="AQ10" s="87" t="s">
        <v>164</v>
      </c>
      <c r="AR10" s="87" t="s">
        <v>165</v>
      </c>
      <c r="AS10" s="87" t="s">
        <v>166</v>
      </c>
      <c r="AT10" s="87" t="s">
        <v>167</v>
      </c>
      <c r="AU10" s="87" t="s">
        <v>168</v>
      </c>
      <c r="AV10" s="87" t="s">
        <v>164</v>
      </c>
      <c r="AW10" s="87" t="s">
        <v>165</v>
      </c>
      <c r="AX10" s="87" t="s">
        <v>166</v>
      </c>
      <c r="AY10" s="87" t="s">
        <v>167</v>
      </c>
      <c r="AZ10" s="87" t="s">
        <v>168</v>
      </c>
      <c r="BA10" s="87" t="s">
        <v>164</v>
      </c>
      <c r="BB10" s="87" t="s">
        <v>165</v>
      </c>
      <c r="BC10" s="87" t="s">
        <v>166</v>
      </c>
      <c r="BD10" s="87" t="s">
        <v>167</v>
      </c>
      <c r="BE10" s="87" t="s">
        <v>168</v>
      </c>
      <c r="BF10" s="87" t="s">
        <v>164</v>
      </c>
      <c r="BG10" s="87" t="s">
        <v>165</v>
      </c>
      <c r="BH10" s="87" t="s">
        <v>166</v>
      </c>
      <c r="BI10" s="87" t="s">
        <v>167</v>
      </c>
      <c r="BJ10" s="87" t="s">
        <v>168</v>
      </c>
      <c r="BK10" s="85" t="s">
        <v>169</v>
      </c>
      <c r="BL10" s="88" t="s">
        <v>170</v>
      </c>
    </row>
    <row r="11" spans="1:64">
      <c r="A11" s="294" t="s">
        <v>171</v>
      </c>
      <c r="B11" s="89" t="s">
        <v>172</v>
      </c>
      <c r="C11" s="98">
        <v>0</v>
      </c>
      <c r="D11" s="98">
        <v>0</v>
      </c>
      <c r="E11" s="98">
        <v>0</v>
      </c>
      <c r="F11" s="98">
        <v>0</v>
      </c>
      <c r="G11" s="117">
        <f>C11+D11+E11+F11</f>
        <v>0</v>
      </c>
      <c r="H11" s="98">
        <v>0</v>
      </c>
      <c r="I11" s="98">
        <v>0</v>
      </c>
      <c r="J11" s="98">
        <v>0</v>
      </c>
      <c r="K11" s="98">
        <v>0</v>
      </c>
      <c r="L11" s="117">
        <f>H11+I11+J11+K11</f>
        <v>0</v>
      </c>
      <c r="M11" s="98">
        <v>0</v>
      </c>
      <c r="N11" s="98">
        <v>0</v>
      </c>
      <c r="O11" s="98">
        <v>0</v>
      </c>
      <c r="P11" s="98">
        <v>0</v>
      </c>
      <c r="Q11" s="117">
        <f>M11+N11+O11+P11</f>
        <v>0</v>
      </c>
      <c r="R11" s="90">
        <v>0</v>
      </c>
      <c r="S11" s="90">
        <v>0</v>
      </c>
      <c r="T11" s="90">
        <v>0</v>
      </c>
      <c r="U11" s="90">
        <v>0</v>
      </c>
      <c r="V11" s="117">
        <f>R11+S11+T11+U11</f>
        <v>0</v>
      </c>
      <c r="W11" s="90">
        <v>0</v>
      </c>
      <c r="X11" s="90">
        <v>0</v>
      </c>
      <c r="Y11" s="90">
        <v>13</v>
      </c>
      <c r="Z11" s="90">
        <v>0</v>
      </c>
      <c r="AA11" s="117">
        <f>W11+X11+Y11+Z11</f>
        <v>13</v>
      </c>
      <c r="AB11" s="90">
        <v>0</v>
      </c>
      <c r="AC11" s="90">
        <v>0</v>
      </c>
      <c r="AD11" s="90">
        <v>0</v>
      </c>
      <c r="AE11" s="90">
        <v>0</v>
      </c>
      <c r="AF11" s="117">
        <v>0</v>
      </c>
      <c r="AG11" s="90">
        <v>0</v>
      </c>
      <c r="AH11" s="90">
        <v>0</v>
      </c>
      <c r="AI11" s="90">
        <v>0</v>
      </c>
      <c r="AJ11" s="90">
        <v>0</v>
      </c>
      <c r="AK11" s="117">
        <f>SUM(AG11:AJ11)</f>
        <v>0</v>
      </c>
      <c r="AL11" s="189">
        <v>0</v>
      </c>
      <c r="AM11" s="189">
        <v>0</v>
      </c>
      <c r="AN11" s="189">
        <v>0</v>
      </c>
      <c r="AO11" s="189">
        <v>0</v>
      </c>
      <c r="AP11" s="208">
        <v>0</v>
      </c>
      <c r="AQ11" s="189">
        <v>0</v>
      </c>
      <c r="AR11" s="189">
        <v>5</v>
      </c>
      <c r="AS11" s="189">
        <v>0</v>
      </c>
      <c r="AT11" s="189">
        <v>0</v>
      </c>
      <c r="AU11" s="208">
        <v>5</v>
      </c>
      <c r="AV11" s="189">
        <v>0</v>
      </c>
      <c r="AW11" s="189">
        <v>1</v>
      </c>
      <c r="AX11" s="189">
        <v>0</v>
      </c>
      <c r="AY11" s="189">
        <v>7</v>
      </c>
      <c r="AZ11" s="208">
        <v>8</v>
      </c>
      <c r="BA11" s="189">
        <v>0</v>
      </c>
      <c r="BB11" s="189">
        <v>0</v>
      </c>
      <c r="BC11" s="189">
        <v>0</v>
      </c>
      <c r="BD11" s="189">
        <v>0</v>
      </c>
      <c r="BE11" s="208">
        <v>0</v>
      </c>
      <c r="BF11" s="189">
        <v>0</v>
      </c>
      <c r="BG11" s="189">
        <v>0</v>
      </c>
      <c r="BH11" s="189">
        <v>0</v>
      </c>
      <c r="BI11" s="189">
        <v>0</v>
      </c>
      <c r="BJ11" s="117">
        <v>0</v>
      </c>
      <c r="BK11" s="90">
        <f>SUM(BJ11+BE11+AZ11+AU11+AP11+AK11+AF11+AA11++V11+Q11+L11+G11)</f>
        <v>26</v>
      </c>
      <c r="BL11" s="295">
        <f>SUM(BK11:BK12)</f>
        <v>36</v>
      </c>
    </row>
    <row r="12" spans="1:64">
      <c r="A12" s="294"/>
      <c r="B12" s="89" t="s">
        <v>173</v>
      </c>
      <c r="C12" s="98">
        <v>0</v>
      </c>
      <c r="D12" s="98">
        <v>0</v>
      </c>
      <c r="E12" s="98">
        <v>0</v>
      </c>
      <c r="F12" s="98">
        <v>0</v>
      </c>
      <c r="G12" s="117">
        <f t="shared" ref="G12:G47" si="0">C12+D12+E12+F12</f>
        <v>0</v>
      </c>
      <c r="H12" s="98">
        <v>0</v>
      </c>
      <c r="I12" s="98">
        <v>0</v>
      </c>
      <c r="J12" s="98">
        <v>0</v>
      </c>
      <c r="K12" s="98">
        <v>0</v>
      </c>
      <c r="L12" s="117">
        <f t="shared" ref="L12:L47" si="1">H12+I12+J12+K12</f>
        <v>0</v>
      </c>
      <c r="M12" s="98">
        <v>0</v>
      </c>
      <c r="N12" s="98">
        <v>0</v>
      </c>
      <c r="O12" s="98">
        <v>0</v>
      </c>
      <c r="P12" s="98">
        <v>0</v>
      </c>
      <c r="Q12" s="117">
        <f t="shared" ref="Q12:Q47" si="2">M12+N12+O12+P12</f>
        <v>0</v>
      </c>
      <c r="R12" s="90">
        <v>0</v>
      </c>
      <c r="S12" s="90">
        <v>0</v>
      </c>
      <c r="T12" s="90">
        <v>0</v>
      </c>
      <c r="U12" s="90">
        <v>0</v>
      </c>
      <c r="V12" s="117">
        <f t="shared" ref="V12:V47" si="3">R12+S12+T12+U12</f>
        <v>0</v>
      </c>
      <c r="W12" s="90">
        <v>0</v>
      </c>
      <c r="X12" s="90">
        <v>0</v>
      </c>
      <c r="Y12" s="90">
        <v>10</v>
      </c>
      <c r="Z12" s="90">
        <v>0</v>
      </c>
      <c r="AA12" s="117">
        <f>W12+X12+Y12+Z12</f>
        <v>10</v>
      </c>
      <c r="AB12" s="90">
        <v>0</v>
      </c>
      <c r="AC12" s="90">
        <v>0</v>
      </c>
      <c r="AD12" s="90">
        <v>0</v>
      </c>
      <c r="AE12" s="90">
        <v>0</v>
      </c>
      <c r="AF12" s="117">
        <v>0</v>
      </c>
      <c r="AG12" s="90">
        <v>0</v>
      </c>
      <c r="AH12" s="90">
        <v>0</v>
      </c>
      <c r="AI12" s="90">
        <v>0</v>
      </c>
      <c r="AJ12" s="90">
        <v>0</v>
      </c>
      <c r="AK12" s="117">
        <f t="shared" ref="AK12:AK47" si="4">SUM(AG12:AJ12)</f>
        <v>0</v>
      </c>
      <c r="AL12" s="189">
        <v>0</v>
      </c>
      <c r="AM12" s="189">
        <v>0</v>
      </c>
      <c r="AN12" s="189">
        <v>0</v>
      </c>
      <c r="AO12" s="189">
        <v>0</v>
      </c>
      <c r="AP12" s="208">
        <v>0</v>
      </c>
      <c r="AQ12" s="189">
        <v>0</v>
      </c>
      <c r="AR12" s="189">
        <v>0</v>
      </c>
      <c r="AS12" s="189">
        <v>0</v>
      </c>
      <c r="AT12" s="189">
        <v>0</v>
      </c>
      <c r="AU12" s="208">
        <v>0</v>
      </c>
      <c r="AV12" s="189">
        <v>0</v>
      </c>
      <c r="AW12" s="189">
        <v>0</v>
      </c>
      <c r="AX12" s="189">
        <v>0</v>
      </c>
      <c r="AY12" s="189">
        <v>0</v>
      </c>
      <c r="AZ12" s="208">
        <v>0</v>
      </c>
      <c r="BA12" s="189">
        <v>0</v>
      </c>
      <c r="BB12" s="189">
        <v>0</v>
      </c>
      <c r="BC12" s="189">
        <v>0</v>
      </c>
      <c r="BD12" s="189">
        <v>0</v>
      </c>
      <c r="BE12" s="208">
        <v>0</v>
      </c>
      <c r="BF12" s="189">
        <v>0</v>
      </c>
      <c r="BG12" s="189">
        <v>0</v>
      </c>
      <c r="BH12" s="189">
        <v>0</v>
      </c>
      <c r="BI12" s="189">
        <v>0</v>
      </c>
      <c r="BJ12" s="117">
        <v>0</v>
      </c>
      <c r="BK12" s="90">
        <f>SUM(BJ12+BE12+AZ12+AU12+AP12+AK12+AF12+AA12++V12+Q12+L12+G12)</f>
        <v>10</v>
      </c>
      <c r="BL12" s="295"/>
    </row>
    <row r="13" spans="1:64">
      <c r="A13" s="296" t="s">
        <v>174</v>
      </c>
      <c r="B13" s="91" t="s">
        <v>172</v>
      </c>
      <c r="C13" s="98">
        <v>0</v>
      </c>
      <c r="D13" s="98">
        <v>0</v>
      </c>
      <c r="E13" s="97">
        <v>1</v>
      </c>
      <c r="F13" s="98">
        <v>0</v>
      </c>
      <c r="G13" s="117">
        <f t="shared" si="0"/>
        <v>1</v>
      </c>
      <c r="H13" s="98">
        <v>0</v>
      </c>
      <c r="I13" s="98">
        <v>0</v>
      </c>
      <c r="J13" s="97">
        <v>1</v>
      </c>
      <c r="K13" s="97">
        <v>0</v>
      </c>
      <c r="L13" s="117">
        <f t="shared" si="1"/>
        <v>1</v>
      </c>
      <c r="M13" s="98">
        <v>0</v>
      </c>
      <c r="N13" s="98">
        <v>0</v>
      </c>
      <c r="O13" s="98">
        <v>0</v>
      </c>
      <c r="P13" s="98">
        <v>0</v>
      </c>
      <c r="Q13" s="117">
        <f t="shared" si="2"/>
        <v>0</v>
      </c>
      <c r="R13" s="90">
        <v>0</v>
      </c>
      <c r="S13" s="90">
        <v>0</v>
      </c>
      <c r="T13" s="90">
        <v>0</v>
      </c>
      <c r="U13" s="90">
        <v>0</v>
      </c>
      <c r="V13" s="117">
        <f t="shared" si="3"/>
        <v>0</v>
      </c>
      <c r="W13" s="90">
        <v>0</v>
      </c>
      <c r="X13" s="90">
        <v>0</v>
      </c>
      <c r="Y13" s="51">
        <v>0</v>
      </c>
      <c r="Z13" s="90">
        <v>0</v>
      </c>
      <c r="AA13" s="119">
        <f>W13+X13+Y13+Z13</f>
        <v>0</v>
      </c>
      <c r="AB13" s="90">
        <v>0</v>
      </c>
      <c r="AC13" s="90">
        <v>0</v>
      </c>
      <c r="AD13" s="90">
        <v>0</v>
      </c>
      <c r="AE13" s="90">
        <v>0</v>
      </c>
      <c r="AF13" s="117">
        <v>0</v>
      </c>
      <c r="AG13" s="90">
        <v>0</v>
      </c>
      <c r="AH13" s="90">
        <v>0</v>
      </c>
      <c r="AI13" s="90">
        <v>0</v>
      </c>
      <c r="AJ13" s="90">
        <v>0</v>
      </c>
      <c r="AK13" s="117">
        <f t="shared" si="4"/>
        <v>0</v>
      </c>
      <c r="AL13" s="189">
        <v>0</v>
      </c>
      <c r="AM13" s="189">
        <v>0</v>
      </c>
      <c r="AN13" s="189">
        <v>0</v>
      </c>
      <c r="AO13" s="189">
        <v>0</v>
      </c>
      <c r="AP13" s="208">
        <v>0</v>
      </c>
      <c r="AQ13" s="189">
        <v>0</v>
      </c>
      <c r="AR13" s="189">
        <v>0</v>
      </c>
      <c r="AS13" s="189">
        <v>12</v>
      </c>
      <c r="AT13" s="189">
        <v>0</v>
      </c>
      <c r="AU13" s="208">
        <v>12</v>
      </c>
      <c r="AV13" s="189">
        <v>0</v>
      </c>
      <c r="AW13" s="189">
        <v>1</v>
      </c>
      <c r="AX13" s="189">
        <v>0</v>
      </c>
      <c r="AY13" s="189">
        <v>1</v>
      </c>
      <c r="AZ13" s="208">
        <v>2</v>
      </c>
      <c r="BA13" s="189">
        <v>0</v>
      </c>
      <c r="BB13" s="189">
        <v>1</v>
      </c>
      <c r="BC13" s="189">
        <v>0</v>
      </c>
      <c r="BD13" s="189">
        <v>0</v>
      </c>
      <c r="BE13" s="208">
        <v>1</v>
      </c>
      <c r="BF13" s="189">
        <v>0</v>
      </c>
      <c r="BG13" s="189">
        <v>0</v>
      </c>
      <c r="BH13" s="189">
        <v>0</v>
      </c>
      <c r="BI13" s="189">
        <v>0</v>
      </c>
      <c r="BJ13" s="117">
        <v>0</v>
      </c>
      <c r="BK13" s="51">
        <f t="shared" ref="BK13:BK47" si="5">SUM(BJ13+BE13+AZ13+AU13+AP13+AK13+AF13+AA13++V13+Q13+L13+G13)</f>
        <v>17</v>
      </c>
      <c r="BL13" s="297">
        <f>SUM(BK13:BK14)</f>
        <v>25</v>
      </c>
    </row>
    <row r="14" spans="1:64">
      <c r="A14" s="296"/>
      <c r="B14" s="91" t="s">
        <v>173</v>
      </c>
      <c r="C14" s="98">
        <v>0</v>
      </c>
      <c r="D14" s="98">
        <v>0</v>
      </c>
      <c r="E14" s="97">
        <v>0</v>
      </c>
      <c r="F14" s="98">
        <v>0</v>
      </c>
      <c r="G14" s="117">
        <f t="shared" si="0"/>
        <v>0</v>
      </c>
      <c r="H14" s="98">
        <v>0</v>
      </c>
      <c r="I14" s="98">
        <v>0</v>
      </c>
      <c r="J14" s="97">
        <v>0</v>
      </c>
      <c r="K14" s="97">
        <v>0</v>
      </c>
      <c r="L14" s="117">
        <f t="shared" si="1"/>
        <v>0</v>
      </c>
      <c r="M14" s="98">
        <v>0</v>
      </c>
      <c r="N14" s="98">
        <v>0</v>
      </c>
      <c r="O14" s="98">
        <v>0</v>
      </c>
      <c r="P14" s="98">
        <v>0</v>
      </c>
      <c r="Q14" s="117">
        <f t="shared" si="2"/>
        <v>0</v>
      </c>
      <c r="R14" s="90">
        <v>0</v>
      </c>
      <c r="S14" s="90">
        <v>0</v>
      </c>
      <c r="T14" s="90">
        <v>0</v>
      </c>
      <c r="U14" s="90">
        <v>0</v>
      </c>
      <c r="V14" s="117">
        <f t="shared" si="3"/>
        <v>0</v>
      </c>
      <c r="W14" s="90">
        <v>0</v>
      </c>
      <c r="X14" s="90">
        <v>0</v>
      </c>
      <c r="Y14" s="51">
        <v>0</v>
      </c>
      <c r="Z14" s="90">
        <v>0</v>
      </c>
      <c r="AA14" s="117">
        <f t="shared" ref="AA14:AA47" si="6">W14+X14+Y14+Z14</f>
        <v>0</v>
      </c>
      <c r="AB14" s="90">
        <v>0</v>
      </c>
      <c r="AC14" s="90">
        <v>0</v>
      </c>
      <c r="AD14" s="90">
        <v>0</v>
      </c>
      <c r="AE14" s="90">
        <v>0</v>
      </c>
      <c r="AF14" s="117">
        <v>0</v>
      </c>
      <c r="AG14" s="90">
        <v>0</v>
      </c>
      <c r="AH14" s="90">
        <v>0</v>
      </c>
      <c r="AI14" s="90">
        <v>0</v>
      </c>
      <c r="AJ14" s="90">
        <v>0</v>
      </c>
      <c r="AK14" s="117">
        <f t="shared" si="4"/>
        <v>0</v>
      </c>
      <c r="AL14" s="189">
        <v>0</v>
      </c>
      <c r="AM14" s="189">
        <v>0</v>
      </c>
      <c r="AN14" s="189">
        <v>0</v>
      </c>
      <c r="AO14" s="189">
        <v>0</v>
      </c>
      <c r="AP14" s="208">
        <v>0</v>
      </c>
      <c r="AQ14" s="189">
        <v>0</v>
      </c>
      <c r="AR14" s="189">
        <v>0</v>
      </c>
      <c r="AS14" s="189">
        <v>8</v>
      </c>
      <c r="AT14" s="189">
        <v>0</v>
      </c>
      <c r="AU14" s="208">
        <v>8</v>
      </c>
      <c r="AV14" s="189">
        <v>0</v>
      </c>
      <c r="AW14" s="189">
        <v>0</v>
      </c>
      <c r="AX14" s="189">
        <v>0</v>
      </c>
      <c r="AY14" s="189">
        <v>0</v>
      </c>
      <c r="AZ14" s="208">
        <v>0</v>
      </c>
      <c r="BA14" s="189">
        <v>0</v>
      </c>
      <c r="BB14" s="189">
        <v>0</v>
      </c>
      <c r="BC14" s="189">
        <v>0</v>
      </c>
      <c r="BD14" s="189">
        <v>0</v>
      </c>
      <c r="BE14" s="208">
        <v>0</v>
      </c>
      <c r="BF14" s="189">
        <v>0</v>
      </c>
      <c r="BG14" s="189">
        <v>0</v>
      </c>
      <c r="BH14" s="189">
        <v>0</v>
      </c>
      <c r="BI14" s="189">
        <v>0</v>
      </c>
      <c r="BJ14" s="117">
        <v>0</v>
      </c>
      <c r="BK14" s="51">
        <f t="shared" si="5"/>
        <v>8</v>
      </c>
      <c r="BL14" s="297"/>
    </row>
    <row r="15" spans="1:64">
      <c r="A15" s="296" t="s">
        <v>175</v>
      </c>
      <c r="B15" s="91" t="s">
        <v>172</v>
      </c>
      <c r="C15" s="98">
        <v>0</v>
      </c>
      <c r="D15" s="98">
        <v>0</v>
      </c>
      <c r="E15" s="97">
        <v>0</v>
      </c>
      <c r="F15" s="98">
        <v>0</v>
      </c>
      <c r="G15" s="117">
        <f t="shared" si="0"/>
        <v>0</v>
      </c>
      <c r="H15" s="98">
        <v>0</v>
      </c>
      <c r="I15" s="98">
        <v>0</v>
      </c>
      <c r="J15" s="97">
        <v>0</v>
      </c>
      <c r="K15" s="97">
        <v>0</v>
      </c>
      <c r="L15" s="117">
        <f t="shared" si="1"/>
        <v>0</v>
      </c>
      <c r="M15" s="98">
        <v>0</v>
      </c>
      <c r="N15" s="98">
        <v>0</v>
      </c>
      <c r="O15" s="98">
        <v>0</v>
      </c>
      <c r="P15" s="98">
        <v>0</v>
      </c>
      <c r="Q15" s="117">
        <f t="shared" si="2"/>
        <v>0</v>
      </c>
      <c r="R15" s="90">
        <v>0</v>
      </c>
      <c r="S15" s="90">
        <v>0</v>
      </c>
      <c r="T15" s="90">
        <v>0</v>
      </c>
      <c r="U15" s="90">
        <v>0</v>
      </c>
      <c r="V15" s="117">
        <f t="shared" si="3"/>
        <v>0</v>
      </c>
      <c r="W15" s="90">
        <v>0</v>
      </c>
      <c r="X15" s="90">
        <v>0</v>
      </c>
      <c r="Y15" s="51">
        <v>0</v>
      </c>
      <c r="Z15" s="90">
        <v>0</v>
      </c>
      <c r="AA15" s="117">
        <f t="shared" si="6"/>
        <v>0</v>
      </c>
      <c r="AB15" s="90">
        <v>0</v>
      </c>
      <c r="AC15" s="90">
        <v>0</v>
      </c>
      <c r="AD15" s="90">
        <v>0</v>
      </c>
      <c r="AE15" s="90">
        <v>0</v>
      </c>
      <c r="AF15" s="117">
        <v>0</v>
      </c>
      <c r="AG15" s="90">
        <v>0</v>
      </c>
      <c r="AH15" s="90">
        <v>0</v>
      </c>
      <c r="AI15" s="90">
        <v>0</v>
      </c>
      <c r="AJ15" s="90">
        <v>0</v>
      </c>
      <c r="AK15" s="117">
        <f t="shared" si="4"/>
        <v>0</v>
      </c>
      <c r="AL15" s="189">
        <v>0</v>
      </c>
      <c r="AM15" s="189">
        <v>0</v>
      </c>
      <c r="AN15" s="189">
        <v>0</v>
      </c>
      <c r="AO15" s="189">
        <v>0</v>
      </c>
      <c r="AP15" s="208">
        <v>0</v>
      </c>
      <c r="AQ15" s="189">
        <v>0</v>
      </c>
      <c r="AR15" s="189">
        <v>0</v>
      </c>
      <c r="AS15" s="189">
        <v>0</v>
      </c>
      <c r="AT15" s="189">
        <v>0</v>
      </c>
      <c r="AU15" s="208">
        <v>0</v>
      </c>
      <c r="AV15" s="189">
        <v>0</v>
      </c>
      <c r="AW15" s="189">
        <v>0</v>
      </c>
      <c r="AX15" s="189">
        <v>0</v>
      </c>
      <c r="AY15" s="189">
        <v>0</v>
      </c>
      <c r="AZ15" s="208">
        <v>0</v>
      </c>
      <c r="BA15" s="189">
        <v>0</v>
      </c>
      <c r="BB15" s="189">
        <v>0</v>
      </c>
      <c r="BC15" s="189">
        <v>0</v>
      </c>
      <c r="BD15" s="189">
        <v>0</v>
      </c>
      <c r="BE15" s="208">
        <v>0</v>
      </c>
      <c r="BF15" s="189">
        <v>0</v>
      </c>
      <c r="BG15" s="189">
        <v>0</v>
      </c>
      <c r="BH15" s="189">
        <v>0</v>
      </c>
      <c r="BI15" s="189">
        <v>0</v>
      </c>
      <c r="BJ15" s="117">
        <v>0</v>
      </c>
      <c r="BK15" s="51">
        <f t="shared" si="5"/>
        <v>0</v>
      </c>
      <c r="BL15" s="297">
        <f>SUM(BK15:BK16)</f>
        <v>0</v>
      </c>
    </row>
    <row r="16" spans="1:64">
      <c r="A16" s="296"/>
      <c r="B16" s="91" t="s">
        <v>173</v>
      </c>
      <c r="C16" s="98">
        <v>0</v>
      </c>
      <c r="D16" s="98">
        <v>0</v>
      </c>
      <c r="E16" s="97">
        <v>0</v>
      </c>
      <c r="F16" s="98">
        <v>0</v>
      </c>
      <c r="G16" s="117">
        <f t="shared" si="0"/>
        <v>0</v>
      </c>
      <c r="H16" s="98">
        <v>0</v>
      </c>
      <c r="I16" s="98">
        <v>0</v>
      </c>
      <c r="J16" s="97">
        <v>0</v>
      </c>
      <c r="K16" s="97">
        <v>0</v>
      </c>
      <c r="L16" s="117">
        <f t="shared" si="1"/>
        <v>0</v>
      </c>
      <c r="M16" s="98">
        <v>0</v>
      </c>
      <c r="N16" s="98">
        <v>0</v>
      </c>
      <c r="O16" s="98">
        <v>0</v>
      </c>
      <c r="P16" s="98">
        <v>0</v>
      </c>
      <c r="Q16" s="117">
        <f t="shared" si="2"/>
        <v>0</v>
      </c>
      <c r="R16" s="90">
        <v>0</v>
      </c>
      <c r="S16" s="90">
        <v>0</v>
      </c>
      <c r="T16" s="90">
        <v>0</v>
      </c>
      <c r="U16" s="90">
        <v>0</v>
      </c>
      <c r="V16" s="117">
        <f t="shared" si="3"/>
        <v>0</v>
      </c>
      <c r="W16" s="90">
        <v>0</v>
      </c>
      <c r="X16" s="90">
        <v>0</v>
      </c>
      <c r="Y16" s="51">
        <v>0</v>
      </c>
      <c r="Z16" s="90">
        <v>0</v>
      </c>
      <c r="AA16" s="119">
        <f t="shared" si="6"/>
        <v>0</v>
      </c>
      <c r="AB16" s="90">
        <v>0</v>
      </c>
      <c r="AC16" s="90">
        <v>0</v>
      </c>
      <c r="AD16" s="90">
        <v>0</v>
      </c>
      <c r="AE16" s="90">
        <v>0</v>
      </c>
      <c r="AF16" s="117">
        <v>0</v>
      </c>
      <c r="AG16" s="90">
        <v>0</v>
      </c>
      <c r="AH16" s="90">
        <v>0</v>
      </c>
      <c r="AI16" s="90">
        <v>0</v>
      </c>
      <c r="AJ16" s="90">
        <v>0</v>
      </c>
      <c r="AK16" s="117">
        <f t="shared" si="4"/>
        <v>0</v>
      </c>
      <c r="AL16" s="189">
        <v>0</v>
      </c>
      <c r="AM16" s="189">
        <v>0</v>
      </c>
      <c r="AN16" s="189">
        <v>0</v>
      </c>
      <c r="AO16" s="189">
        <v>0</v>
      </c>
      <c r="AP16" s="208">
        <v>0</v>
      </c>
      <c r="AQ16" s="189">
        <v>0</v>
      </c>
      <c r="AR16" s="189">
        <v>0</v>
      </c>
      <c r="AS16" s="189">
        <v>0</v>
      </c>
      <c r="AT16" s="189">
        <v>0</v>
      </c>
      <c r="AU16" s="208">
        <v>0</v>
      </c>
      <c r="AV16" s="189">
        <v>0</v>
      </c>
      <c r="AW16" s="189">
        <v>0</v>
      </c>
      <c r="AX16" s="189">
        <v>0</v>
      </c>
      <c r="AY16" s="189">
        <v>0</v>
      </c>
      <c r="AZ16" s="208">
        <v>0</v>
      </c>
      <c r="BA16" s="189">
        <v>0</v>
      </c>
      <c r="BB16" s="189">
        <v>0</v>
      </c>
      <c r="BC16" s="189">
        <v>0</v>
      </c>
      <c r="BD16" s="189">
        <v>0</v>
      </c>
      <c r="BE16" s="208">
        <v>0</v>
      </c>
      <c r="BF16" s="189">
        <v>0</v>
      </c>
      <c r="BG16" s="189">
        <v>0</v>
      </c>
      <c r="BH16" s="189">
        <v>0</v>
      </c>
      <c r="BI16" s="189">
        <v>0</v>
      </c>
      <c r="BJ16" s="117">
        <v>0</v>
      </c>
      <c r="BK16" s="51">
        <f t="shared" si="5"/>
        <v>0</v>
      </c>
      <c r="BL16" s="297"/>
    </row>
    <row r="17" spans="1:64">
      <c r="A17" s="294" t="s">
        <v>176</v>
      </c>
      <c r="B17" s="89" t="s">
        <v>172</v>
      </c>
      <c r="C17" s="98">
        <v>0</v>
      </c>
      <c r="D17" s="98">
        <v>0</v>
      </c>
      <c r="E17" s="97">
        <v>0</v>
      </c>
      <c r="F17" s="98">
        <v>0</v>
      </c>
      <c r="G17" s="117">
        <f t="shared" si="0"/>
        <v>0</v>
      </c>
      <c r="H17" s="98">
        <v>8</v>
      </c>
      <c r="I17" s="98">
        <v>0</v>
      </c>
      <c r="J17" s="97">
        <v>0</v>
      </c>
      <c r="K17" s="98">
        <v>10</v>
      </c>
      <c r="L17" s="117">
        <f t="shared" si="1"/>
        <v>18</v>
      </c>
      <c r="M17" s="209">
        <v>18</v>
      </c>
      <c r="N17" s="98">
        <v>0</v>
      </c>
      <c r="O17" s="98">
        <v>0</v>
      </c>
      <c r="P17" s="98">
        <v>0</v>
      </c>
      <c r="Q17" s="117">
        <f t="shared" si="2"/>
        <v>18</v>
      </c>
      <c r="R17" s="90">
        <v>0</v>
      </c>
      <c r="S17" s="90">
        <v>0</v>
      </c>
      <c r="T17" s="90">
        <v>0</v>
      </c>
      <c r="U17" s="90">
        <v>0</v>
      </c>
      <c r="V17" s="117">
        <f t="shared" si="3"/>
        <v>0</v>
      </c>
      <c r="W17" s="90">
        <v>0</v>
      </c>
      <c r="X17" s="90">
        <v>0</v>
      </c>
      <c r="Y17" s="51">
        <v>0</v>
      </c>
      <c r="Z17" s="90">
        <v>0</v>
      </c>
      <c r="AA17" s="117">
        <f t="shared" si="6"/>
        <v>0</v>
      </c>
      <c r="AB17" s="90">
        <v>0</v>
      </c>
      <c r="AC17" s="90">
        <v>0</v>
      </c>
      <c r="AD17" s="90">
        <v>0</v>
      </c>
      <c r="AE17" s="90">
        <v>0</v>
      </c>
      <c r="AF17" s="117">
        <v>0</v>
      </c>
      <c r="AG17" s="90">
        <v>0</v>
      </c>
      <c r="AH17" s="90">
        <v>0</v>
      </c>
      <c r="AI17" s="90">
        <v>0</v>
      </c>
      <c r="AJ17" s="90">
        <v>0</v>
      </c>
      <c r="AK17" s="117">
        <f t="shared" si="4"/>
        <v>0</v>
      </c>
      <c r="AL17" s="189">
        <v>0</v>
      </c>
      <c r="AM17" s="189">
        <v>0</v>
      </c>
      <c r="AN17" s="189">
        <v>0</v>
      </c>
      <c r="AO17" s="189">
        <v>0</v>
      </c>
      <c r="AP17" s="208">
        <v>0</v>
      </c>
      <c r="AQ17" s="189">
        <v>7</v>
      </c>
      <c r="AR17" s="189">
        <v>0</v>
      </c>
      <c r="AS17" s="189">
        <v>0</v>
      </c>
      <c r="AT17" s="189">
        <v>0</v>
      </c>
      <c r="AU17" s="208">
        <v>7</v>
      </c>
      <c r="AV17" s="189">
        <v>0</v>
      </c>
      <c r="AW17" s="189">
        <v>0</v>
      </c>
      <c r="AX17" s="189">
        <v>0</v>
      </c>
      <c r="AY17" s="189">
        <v>0</v>
      </c>
      <c r="AZ17" s="208">
        <v>0</v>
      </c>
      <c r="BA17" s="189">
        <v>5</v>
      </c>
      <c r="BB17" s="189">
        <v>8</v>
      </c>
      <c r="BC17" s="189">
        <v>0</v>
      </c>
      <c r="BD17" s="189">
        <v>0</v>
      </c>
      <c r="BE17" s="208">
        <v>13</v>
      </c>
      <c r="BF17" s="189">
        <v>0</v>
      </c>
      <c r="BG17" s="189">
        <v>0</v>
      </c>
      <c r="BH17" s="189">
        <v>0</v>
      </c>
      <c r="BI17" s="189">
        <v>0</v>
      </c>
      <c r="BJ17" s="117">
        <v>0</v>
      </c>
      <c r="BK17" s="90">
        <f t="shared" si="5"/>
        <v>56</v>
      </c>
      <c r="BL17" s="295">
        <f>SUM(BK17:BK18)</f>
        <v>92</v>
      </c>
    </row>
    <row r="18" spans="1:64">
      <c r="A18" s="294"/>
      <c r="B18" s="89" t="s">
        <v>173</v>
      </c>
      <c r="C18" s="98">
        <v>0</v>
      </c>
      <c r="D18" s="98">
        <v>0</v>
      </c>
      <c r="E18" s="97">
        <v>0</v>
      </c>
      <c r="F18" s="98">
        <v>0</v>
      </c>
      <c r="G18" s="117">
        <f t="shared" si="0"/>
        <v>0</v>
      </c>
      <c r="H18" s="98">
        <v>8</v>
      </c>
      <c r="I18" s="98">
        <v>0</v>
      </c>
      <c r="J18" s="97">
        <v>0</v>
      </c>
      <c r="K18" s="98">
        <v>10</v>
      </c>
      <c r="L18" s="117">
        <f t="shared" si="1"/>
        <v>18</v>
      </c>
      <c r="M18" s="98">
        <v>18</v>
      </c>
      <c r="N18" s="98">
        <v>0</v>
      </c>
      <c r="O18" s="98">
        <v>0</v>
      </c>
      <c r="P18" s="98">
        <v>0</v>
      </c>
      <c r="Q18" s="117">
        <f t="shared" si="2"/>
        <v>18</v>
      </c>
      <c r="R18" s="90">
        <v>0</v>
      </c>
      <c r="S18" s="90">
        <v>0</v>
      </c>
      <c r="T18" s="90">
        <v>0</v>
      </c>
      <c r="U18" s="90">
        <v>0</v>
      </c>
      <c r="V18" s="117">
        <f t="shared" si="3"/>
        <v>0</v>
      </c>
      <c r="W18" s="90">
        <v>0</v>
      </c>
      <c r="X18" s="90">
        <v>0</v>
      </c>
      <c r="Y18" s="51">
        <v>0</v>
      </c>
      <c r="Z18" s="90">
        <v>0</v>
      </c>
      <c r="AA18" s="117">
        <f t="shared" si="6"/>
        <v>0</v>
      </c>
      <c r="AB18" s="90">
        <v>0</v>
      </c>
      <c r="AC18" s="90">
        <v>0</v>
      </c>
      <c r="AD18" s="90">
        <v>0</v>
      </c>
      <c r="AE18" s="90">
        <v>0</v>
      </c>
      <c r="AF18" s="117">
        <v>0</v>
      </c>
      <c r="AG18" s="90">
        <v>0</v>
      </c>
      <c r="AH18" s="90">
        <v>0</v>
      </c>
      <c r="AI18" s="90">
        <v>0</v>
      </c>
      <c r="AJ18" s="90">
        <v>0</v>
      </c>
      <c r="AK18" s="117">
        <f t="shared" si="4"/>
        <v>0</v>
      </c>
      <c r="AL18" s="189">
        <v>0</v>
      </c>
      <c r="AM18" s="189">
        <v>0</v>
      </c>
      <c r="AN18" s="189">
        <v>0</v>
      </c>
      <c r="AO18" s="189">
        <v>0</v>
      </c>
      <c r="AP18" s="208">
        <v>0</v>
      </c>
      <c r="AQ18" s="189">
        <v>0</v>
      </c>
      <c r="AR18" s="189">
        <v>0</v>
      </c>
      <c r="AS18" s="189">
        <v>0</v>
      </c>
      <c r="AT18" s="189">
        <v>0</v>
      </c>
      <c r="AU18" s="208">
        <v>0</v>
      </c>
      <c r="AV18" s="189">
        <v>0</v>
      </c>
      <c r="AW18" s="189">
        <v>0</v>
      </c>
      <c r="AX18" s="189">
        <v>0</v>
      </c>
      <c r="AY18" s="189">
        <v>0</v>
      </c>
      <c r="AZ18" s="208">
        <v>0</v>
      </c>
      <c r="BA18" s="189">
        <v>0</v>
      </c>
      <c r="BB18" s="189">
        <v>0</v>
      </c>
      <c r="BC18" s="189">
        <v>0</v>
      </c>
      <c r="BD18" s="189">
        <v>0</v>
      </c>
      <c r="BE18" s="208">
        <v>0</v>
      </c>
      <c r="BF18" s="189">
        <v>0</v>
      </c>
      <c r="BG18" s="189">
        <v>0</v>
      </c>
      <c r="BH18" s="189">
        <v>0</v>
      </c>
      <c r="BI18" s="189">
        <v>0</v>
      </c>
      <c r="BJ18" s="117">
        <v>0</v>
      </c>
      <c r="BK18" s="90">
        <f t="shared" si="5"/>
        <v>36</v>
      </c>
      <c r="BL18" s="295"/>
    </row>
    <row r="19" spans="1:64">
      <c r="A19" s="294" t="s">
        <v>177</v>
      </c>
      <c r="B19" s="89" t="s">
        <v>172</v>
      </c>
      <c r="C19" s="98">
        <v>0</v>
      </c>
      <c r="D19" s="98">
        <v>0</v>
      </c>
      <c r="E19" s="97">
        <v>0</v>
      </c>
      <c r="F19" s="98">
        <v>0</v>
      </c>
      <c r="G19" s="117">
        <f t="shared" si="0"/>
        <v>0</v>
      </c>
      <c r="H19" s="98">
        <v>0</v>
      </c>
      <c r="I19" s="98">
        <v>0</v>
      </c>
      <c r="J19" s="97">
        <v>0</v>
      </c>
      <c r="K19" s="98">
        <v>0</v>
      </c>
      <c r="L19" s="117">
        <f t="shared" si="1"/>
        <v>0</v>
      </c>
      <c r="M19" s="98">
        <v>0</v>
      </c>
      <c r="N19" s="98">
        <v>0</v>
      </c>
      <c r="O19" s="98">
        <v>0</v>
      </c>
      <c r="P19" s="98">
        <v>0</v>
      </c>
      <c r="Q19" s="117">
        <f t="shared" si="2"/>
        <v>0</v>
      </c>
      <c r="R19" s="90">
        <v>0</v>
      </c>
      <c r="S19" s="90">
        <v>0</v>
      </c>
      <c r="T19" s="90">
        <v>0</v>
      </c>
      <c r="U19" s="90">
        <v>0</v>
      </c>
      <c r="V19" s="117">
        <f t="shared" si="3"/>
        <v>0</v>
      </c>
      <c r="W19" s="90">
        <v>0</v>
      </c>
      <c r="X19" s="90">
        <v>0</v>
      </c>
      <c r="Y19" s="51">
        <v>0</v>
      </c>
      <c r="Z19" s="90">
        <v>0</v>
      </c>
      <c r="AA19" s="117">
        <f t="shared" si="6"/>
        <v>0</v>
      </c>
      <c r="AB19" s="90">
        <v>0</v>
      </c>
      <c r="AC19" s="90">
        <v>0</v>
      </c>
      <c r="AD19" s="90">
        <v>0</v>
      </c>
      <c r="AE19" s="90">
        <v>0</v>
      </c>
      <c r="AF19" s="117">
        <v>0</v>
      </c>
      <c r="AG19" s="90">
        <v>0</v>
      </c>
      <c r="AH19" s="90">
        <v>40</v>
      </c>
      <c r="AI19" s="90">
        <v>0</v>
      </c>
      <c r="AJ19" s="90">
        <v>0</v>
      </c>
      <c r="AK19" s="117">
        <f t="shared" si="4"/>
        <v>40</v>
      </c>
      <c r="AL19" s="189">
        <v>0</v>
      </c>
      <c r="AM19" s="189">
        <v>0</v>
      </c>
      <c r="AN19" s="189">
        <v>0</v>
      </c>
      <c r="AO19" s="189">
        <v>0</v>
      </c>
      <c r="AP19" s="208">
        <v>0</v>
      </c>
      <c r="AQ19" s="189">
        <v>0</v>
      </c>
      <c r="AR19" s="189">
        <v>0</v>
      </c>
      <c r="AS19" s="189">
        <v>0</v>
      </c>
      <c r="AT19" s="189">
        <v>6</v>
      </c>
      <c r="AU19" s="208">
        <v>0</v>
      </c>
      <c r="AV19" s="189">
        <v>0</v>
      </c>
      <c r="AW19" s="189">
        <v>0</v>
      </c>
      <c r="AX19" s="189">
        <v>0</v>
      </c>
      <c r="AY19" s="189">
        <v>0</v>
      </c>
      <c r="AZ19" s="208">
        <v>0</v>
      </c>
      <c r="BA19" s="189">
        <v>0</v>
      </c>
      <c r="BB19" s="189">
        <v>2</v>
      </c>
      <c r="BC19" s="189">
        <v>0</v>
      </c>
      <c r="BD19" s="189">
        <v>0</v>
      </c>
      <c r="BE19" s="208">
        <v>2</v>
      </c>
      <c r="BF19" s="189">
        <v>0</v>
      </c>
      <c r="BG19" s="189">
        <v>0</v>
      </c>
      <c r="BH19" s="189">
        <v>0</v>
      </c>
      <c r="BI19" s="189">
        <v>0</v>
      </c>
      <c r="BJ19" s="117">
        <v>0</v>
      </c>
      <c r="BK19" s="90">
        <f t="shared" si="5"/>
        <v>42</v>
      </c>
      <c r="BL19" s="295">
        <f>SUM(BK19:BK20)</f>
        <v>202</v>
      </c>
    </row>
    <row r="20" spans="1:64">
      <c r="A20" s="294"/>
      <c r="B20" s="89" t="s">
        <v>173</v>
      </c>
      <c r="C20" s="98">
        <v>0</v>
      </c>
      <c r="D20" s="98">
        <v>0</v>
      </c>
      <c r="E20" s="97">
        <v>0</v>
      </c>
      <c r="F20" s="98">
        <v>0</v>
      </c>
      <c r="G20" s="117">
        <f t="shared" si="0"/>
        <v>0</v>
      </c>
      <c r="H20" s="98">
        <v>0</v>
      </c>
      <c r="I20" s="98">
        <v>0</v>
      </c>
      <c r="J20" s="97">
        <v>0</v>
      </c>
      <c r="K20" s="98">
        <v>0</v>
      </c>
      <c r="L20" s="117">
        <f t="shared" si="1"/>
        <v>0</v>
      </c>
      <c r="M20" s="98">
        <v>0</v>
      </c>
      <c r="N20" s="98">
        <v>0</v>
      </c>
      <c r="O20" s="98">
        <v>0</v>
      </c>
      <c r="P20" s="98">
        <v>0</v>
      </c>
      <c r="Q20" s="117">
        <f t="shared" si="2"/>
        <v>0</v>
      </c>
      <c r="R20" s="90">
        <v>0</v>
      </c>
      <c r="S20" s="90">
        <v>0</v>
      </c>
      <c r="T20" s="90">
        <v>0</v>
      </c>
      <c r="U20" s="90">
        <v>0</v>
      </c>
      <c r="V20" s="117">
        <f t="shared" si="3"/>
        <v>0</v>
      </c>
      <c r="W20" s="90">
        <v>0</v>
      </c>
      <c r="X20" s="90">
        <v>0</v>
      </c>
      <c r="Y20" s="51">
        <v>0</v>
      </c>
      <c r="Z20" s="90">
        <v>0</v>
      </c>
      <c r="AA20" s="119">
        <f t="shared" si="6"/>
        <v>0</v>
      </c>
      <c r="AB20" s="90">
        <v>0</v>
      </c>
      <c r="AC20" s="90">
        <v>0</v>
      </c>
      <c r="AD20" s="90">
        <v>0</v>
      </c>
      <c r="AE20" s="90">
        <v>0</v>
      </c>
      <c r="AF20" s="117">
        <v>0</v>
      </c>
      <c r="AG20" s="90">
        <v>0</v>
      </c>
      <c r="AH20" s="90">
        <v>40</v>
      </c>
      <c r="AI20" s="90">
        <v>0</v>
      </c>
      <c r="AJ20" s="90">
        <v>0</v>
      </c>
      <c r="AK20" s="117">
        <f t="shared" si="4"/>
        <v>40</v>
      </c>
      <c r="AL20" s="189">
        <v>0</v>
      </c>
      <c r="AM20" s="189">
        <v>0</v>
      </c>
      <c r="AN20" s="189">
        <v>0</v>
      </c>
      <c r="AO20" s="189">
        <v>0</v>
      </c>
      <c r="AP20" s="208">
        <v>0</v>
      </c>
      <c r="AQ20" s="189">
        <v>120</v>
      </c>
      <c r="AR20" s="189">
        <v>0</v>
      </c>
      <c r="AS20" s="189">
        <v>0</v>
      </c>
      <c r="AT20" s="189">
        <v>0</v>
      </c>
      <c r="AU20" s="208">
        <v>120</v>
      </c>
      <c r="AV20" s="189">
        <v>0</v>
      </c>
      <c r="AW20" s="189">
        <v>0</v>
      </c>
      <c r="AX20" s="189">
        <v>0</v>
      </c>
      <c r="AY20" s="189">
        <v>0</v>
      </c>
      <c r="AZ20" s="208">
        <v>0</v>
      </c>
      <c r="BA20" s="189">
        <v>0</v>
      </c>
      <c r="BB20" s="189">
        <v>0</v>
      </c>
      <c r="BC20" s="189">
        <v>0</v>
      </c>
      <c r="BD20" s="189">
        <v>0</v>
      </c>
      <c r="BE20" s="208">
        <v>0</v>
      </c>
      <c r="BF20" s="189">
        <v>0</v>
      </c>
      <c r="BG20" s="189">
        <v>0</v>
      </c>
      <c r="BH20" s="189">
        <v>0</v>
      </c>
      <c r="BI20" s="189">
        <v>0</v>
      </c>
      <c r="BJ20" s="117">
        <v>0</v>
      </c>
      <c r="BK20" s="90">
        <f t="shared" si="5"/>
        <v>160</v>
      </c>
      <c r="BL20" s="295"/>
    </row>
    <row r="21" spans="1:64" ht="60">
      <c r="A21" s="92" t="s">
        <v>178</v>
      </c>
      <c r="B21" s="93"/>
      <c r="C21" s="98">
        <v>0</v>
      </c>
      <c r="D21" s="98">
        <v>0</v>
      </c>
      <c r="E21" s="97">
        <v>0</v>
      </c>
      <c r="F21" s="98">
        <v>0</v>
      </c>
      <c r="G21" s="117">
        <f t="shared" si="0"/>
        <v>0</v>
      </c>
      <c r="H21" s="98">
        <v>0</v>
      </c>
      <c r="I21" s="98">
        <v>0</v>
      </c>
      <c r="J21" s="97">
        <v>0</v>
      </c>
      <c r="K21" s="98">
        <v>0</v>
      </c>
      <c r="L21" s="117">
        <f t="shared" si="1"/>
        <v>0</v>
      </c>
      <c r="M21" s="98">
        <v>10</v>
      </c>
      <c r="N21" s="98">
        <v>0</v>
      </c>
      <c r="O21" s="98">
        <v>0</v>
      </c>
      <c r="P21" s="98">
        <v>0</v>
      </c>
      <c r="Q21" s="117">
        <f t="shared" si="2"/>
        <v>10</v>
      </c>
      <c r="R21" s="90">
        <v>0</v>
      </c>
      <c r="S21" s="90">
        <v>0</v>
      </c>
      <c r="T21" s="90">
        <v>0</v>
      </c>
      <c r="U21" s="90">
        <v>0</v>
      </c>
      <c r="V21" s="117">
        <f t="shared" si="3"/>
        <v>0</v>
      </c>
      <c r="W21" s="90">
        <v>0</v>
      </c>
      <c r="X21" s="90">
        <v>0</v>
      </c>
      <c r="Y21" s="51">
        <v>0</v>
      </c>
      <c r="Z21" s="90">
        <v>0</v>
      </c>
      <c r="AA21" s="117">
        <f t="shared" si="6"/>
        <v>0</v>
      </c>
      <c r="AB21" s="90">
        <v>0</v>
      </c>
      <c r="AC21" s="90">
        <v>0</v>
      </c>
      <c r="AD21" s="90">
        <v>0</v>
      </c>
      <c r="AE21" s="90">
        <v>0</v>
      </c>
      <c r="AF21" s="117">
        <v>0</v>
      </c>
      <c r="AG21" s="90">
        <v>0</v>
      </c>
      <c r="AH21" s="90">
        <v>0</v>
      </c>
      <c r="AI21" s="90">
        <v>0</v>
      </c>
      <c r="AJ21" s="90">
        <v>0</v>
      </c>
      <c r="AK21" s="117">
        <f t="shared" si="4"/>
        <v>0</v>
      </c>
      <c r="AL21" s="189">
        <v>0</v>
      </c>
      <c r="AM21" s="189">
        <v>0</v>
      </c>
      <c r="AN21" s="189">
        <v>0</v>
      </c>
      <c r="AO21" s="189">
        <v>0</v>
      </c>
      <c r="AP21" s="208">
        <v>0</v>
      </c>
      <c r="AQ21" s="210">
        <v>0</v>
      </c>
      <c r="AR21" s="189">
        <v>0</v>
      </c>
      <c r="AS21" s="189">
        <v>0</v>
      </c>
      <c r="AT21" s="189">
        <v>0</v>
      </c>
      <c r="AU21" s="208">
        <v>0</v>
      </c>
      <c r="AV21" s="189">
        <v>0</v>
      </c>
      <c r="AW21" s="189">
        <v>0</v>
      </c>
      <c r="AX21" s="189">
        <v>0</v>
      </c>
      <c r="AY21" s="189">
        <v>0</v>
      </c>
      <c r="AZ21" s="208">
        <v>0</v>
      </c>
      <c r="BA21" s="189">
        <v>0</v>
      </c>
      <c r="BB21" s="189">
        <v>0</v>
      </c>
      <c r="BC21" s="189">
        <v>0</v>
      </c>
      <c r="BD21" s="189">
        <v>0</v>
      </c>
      <c r="BE21" s="208">
        <v>0</v>
      </c>
      <c r="BF21" s="189">
        <v>0</v>
      </c>
      <c r="BG21" s="189">
        <v>0</v>
      </c>
      <c r="BH21" s="189">
        <v>0</v>
      </c>
      <c r="BI21" s="189">
        <v>0</v>
      </c>
      <c r="BJ21" s="117">
        <v>0</v>
      </c>
      <c r="BK21" s="94"/>
      <c r="BL21" s="94"/>
    </row>
    <row r="22" spans="1:64">
      <c r="A22" s="298" t="s">
        <v>179</v>
      </c>
      <c r="B22" s="89" t="s">
        <v>172</v>
      </c>
      <c r="C22" s="98">
        <v>0</v>
      </c>
      <c r="D22" s="98">
        <v>0</v>
      </c>
      <c r="E22" s="97">
        <v>0</v>
      </c>
      <c r="F22" s="98">
        <v>0</v>
      </c>
      <c r="G22" s="117">
        <f t="shared" si="0"/>
        <v>0</v>
      </c>
      <c r="H22" s="98">
        <v>0</v>
      </c>
      <c r="I22" s="98">
        <v>2</v>
      </c>
      <c r="J22" s="97">
        <v>0</v>
      </c>
      <c r="K22" s="98">
        <v>0</v>
      </c>
      <c r="L22" s="117">
        <f t="shared" si="1"/>
        <v>2</v>
      </c>
      <c r="M22" s="98">
        <v>0</v>
      </c>
      <c r="N22" s="98">
        <v>4</v>
      </c>
      <c r="O22" s="98">
        <v>0</v>
      </c>
      <c r="P22" s="98">
        <v>0</v>
      </c>
      <c r="Q22" s="117">
        <f t="shared" si="2"/>
        <v>4</v>
      </c>
      <c r="R22" s="90">
        <v>0</v>
      </c>
      <c r="S22" s="90">
        <v>0</v>
      </c>
      <c r="T22" s="90">
        <v>0</v>
      </c>
      <c r="U22" s="90">
        <v>0</v>
      </c>
      <c r="V22" s="117">
        <f t="shared" si="3"/>
        <v>0</v>
      </c>
      <c r="W22" s="90">
        <v>0</v>
      </c>
      <c r="X22" s="90">
        <v>0</v>
      </c>
      <c r="Y22" s="51">
        <v>0</v>
      </c>
      <c r="Z22" s="90">
        <v>0</v>
      </c>
      <c r="AA22" s="117">
        <f t="shared" si="6"/>
        <v>0</v>
      </c>
      <c r="AB22" s="90">
        <v>0</v>
      </c>
      <c r="AC22" s="90">
        <v>0</v>
      </c>
      <c r="AD22" s="90">
        <v>0</v>
      </c>
      <c r="AE22" s="90">
        <v>0</v>
      </c>
      <c r="AF22" s="117">
        <v>0</v>
      </c>
      <c r="AG22" s="90">
        <v>0</v>
      </c>
      <c r="AH22" s="90">
        <v>0</v>
      </c>
      <c r="AI22" s="90">
        <v>0</v>
      </c>
      <c r="AJ22" s="90">
        <v>0</v>
      </c>
      <c r="AK22" s="117">
        <f t="shared" si="4"/>
        <v>0</v>
      </c>
      <c r="AL22" s="189">
        <v>0</v>
      </c>
      <c r="AM22" s="189">
        <v>0</v>
      </c>
      <c r="AN22" s="189">
        <v>0</v>
      </c>
      <c r="AO22" s="189">
        <v>0</v>
      </c>
      <c r="AP22" s="208">
        <v>0</v>
      </c>
      <c r="AQ22" s="210">
        <v>0</v>
      </c>
      <c r="AR22" s="189">
        <v>0</v>
      </c>
      <c r="AS22" s="189">
        <v>0</v>
      </c>
      <c r="AT22" s="189">
        <v>0</v>
      </c>
      <c r="AU22" s="208">
        <v>0</v>
      </c>
      <c r="AV22" s="189">
        <v>0</v>
      </c>
      <c r="AW22" s="189">
        <v>0</v>
      </c>
      <c r="AX22" s="189">
        <v>0</v>
      </c>
      <c r="AY22" s="189">
        <v>0</v>
      </c>
      <c r="AZ22" s="208">
        <v>0</v>
      </c>
      <c r="BA22" s="189">
        <v>0</v>
      </c>
      <c r="BB22" s="189">
        <v>0</v>
      </c>
      <c r="BC22" s="189">
        <v>0</v>
      </c>
      <c r="BD22" s="189">
        <v>0</v>
      </c>
      <c r="BE22" s="208">
        <v>0</v>
      </c>
      <c r="BF22" s="189">
        <v>0</v>
      </c>
      <c r="BG22" s="189">
        <v>0</v>
      </c>
      <c r="BH22" s="189">
        <v>0</v>
      </c>
      <c r="BI22" s="189">
        <v>0</v>
      </c>
      <c r="BJ22" s="117">
        <v>0</v>
      </c>
      <c r="BK22" s="90">
        <f t="shared" si="5"/>
        <v>6</v>
      </c>
      <c r="BL22" s="299">
        <f>SUM(BK22:BK37)</f>
        <v>171</v>
      </c>
    </row>
    <row r="23" spans="1:64">
      <c r="A23" s="298"/>
      <c r="B23" s="89" t="s">
        <v>173</v>
      </c>
      <c r="C23" s="98">
        <v>0</v>
      </c>
      <c r="D23" s="98">
        <v>0</v>
      </c>
      <c r="E23" s="97">
        <v>0</v>
      </c>
      <c r="F23" s="98">
        <v>0</v>
      </c>
      <c r="G23" s="117">
        <f t="shared" si="0"/>
        <v>0</v>
      </c>
      <c r="H23" s="98">
        <v>0</v>
      </c>
      <c r="I23" s="98">
        <v>0</v>
      </c>
      <c r="J23" s="97">
        <v>0</v>
      </c>
      <c r="K23" s="98">
        <v>0</v>
      </c>
      <c r="L23" s="117">
        <f t="shared" si="1"/>
        <v>0</v>
      </c>
      <c r="M23" s="98">
        <v>0</v>
      </c>
      <c r="N23" s="98">
        <v>0</v>
      </c>
      <c r="O23" s="98">
        <v>0</v>
      </c>
      <c r="P23" s="98">
        <v>0</v>
      </c>
      <c r="Q23" s="117">
        <f t="shared" si="2"/>
        <v>0</v>
      </c>
      <c r="R23" s="90">
        <v>0</v>
      </c>
      <c r="S23" s="90">
        <v>0</v>
      </c>
      <c r="T23" s="90">
        <v>0</v>
      </c>
      <c r="U23" s="90">
        <v>0</v>
      </c>
      <c r="V23" s="117">
        <f t="shared" si="3"/>
        <v>0</v>
      </c>
      <c r="W23" s="90">
        <v>0</v>
      </c>
      <c r="X23" s="90">
        <v>0</v>
      </c>
      <c r="Y23" s="51">
        <v>0</v>
      </c>
      <c r="Z23" s="90">
        <v>0</v>
      </c>
      <c r="AA23" s="119">
        <f t="shared" si="6"/>
        <v>0</v>
      </c>
      <c r="AB23" s="90">
        <v>0</v>
      </c>
      <c r="AC23" s="90">
        <v>0</v>
      </c>
      <c r="AD23" s="90">
        <v>0</v>
      </c>
      <c r="AE23" s="90">
        <v>0</v>
      </c>
      <c r="AF23" s="117">
        <v>0</v>
      </c>
      <c r="AG23" s="90">
        <v>0</v>
      </c>
      <c r="AH23" s="90">
        <v>0</v>
      </c>
      <c r="AI23" s="90">
        <v>0</v>
      </c>
      <c r="AJ23" s="90">
        <v>0</v>
      </c>
      <c r="AK23" s="117">
        <f t="shared" si="4"/>
        <v>0</v>
      </c>
      <c r="AL23" s="189">
        <v>0</v>
      </c>
      <c r="AM23" s="189">
        <v>0</v>
      </c>
      <c r="AN23" s="189">
        <v>0</v>
      </c>
      <c r="AO23" s="189">
        <v>0</v>
      </c>
      <c r="AP23" s="208">
        <v>0</v>
      </c>
      <c r="AQ23" s="210">
        <v>0</v>
      </c>
      <c r="AR23" s="189">
        <v>0</v>
      </c>
      <c r="AS23" s="189">
        <v>0</v>
      </c>
      <c r="AT23" s="189">
        <v>0</v>
      </c>
      <c r="AU23" s="208">
        <v>0</v>
      </c>
      <c r="AV23" s="189">
        <v>0</v>
      </c>
      <c r="AW23" s="189">
        <v>0</v>
      </c>
      <c r="AX23" s="189">
        <v>0</v>
      </c>
      <c r="AY23" s="189">
        <v>0</v>
      </c>
      <c r="AZ23" s="208">
        <v>0</v>
      </c>
      <c r="BA23" s="189">
        <v>0</v>
      </c>
      <c r="BB23" s="189">
        <v>0</v>
      </c>
      <c r="BC23" s="189">
        <v>0</v>
      </c>
      <c r="BD23" s="189">
        <v>0</v>
      </c>
      <c r="BE23" s="208">
        <v>0</v>
      </c>
      <c r="BF23" s="189">
        <v>0</v>
      </c>
      <c r="BG23" s="189">
        <v>0</v>
      </c>
      <c r="BH23" s="189">
        <v>0</v>
      </c>
      <c r="BI23" s="189">
        <v>0</v>
      </c>
      <c r="BJ23" s="117">
        <v>0</v>
      </c>
      <c r="BK23" s="90">
        <f t="shared" si="5"/>
        <v>0</v>
      </c>
      <c r="BL23" s="300"/>
    </row>
    <row r="24" spans="1:64">
      <c r="A24" s="302" t="s">
        <v>454</v>
      </c>
      <c r="B24" s="91" t="s">
        <v>172</v>
      </c>
      <c r="C24" s="97">
        <v>25</v>
      </c>
      <c r="D24" s="98">
        <v>0</v>
      </c>
      <c r="E24" s="97">
        <v>0</v>
      </c>
      <c r="F24" s="98">
        <v>0</v>
      </c>
      <c r="G24" s="117">
        <f t="shared" si="0"/>
        <v>25</v>
      </c>
      <c r="H24" s="98">
        <v>0</v>
      </c>
      <c r="I24" s="98">
        <v>0</v>
      </c>
      <c r="J24" s="97">
        <v>0</v>
      </c>
      <c r="K24" s="97">
        <v>5</v>
      </c>
      <c r="L24" s="117">
        <f t="shared" si="1"/>
        <v>5</v>
      </c>
      <c r="M24" s="98">
        <v>0</v>
      </c>
      <c r="N24" s="98">
        <v>0</v>
      </c>
      <c r="O24" s="98">
        <v>0</v>
      </c>
      <c r="P24" s="98">
        <v>0</v>
      </c>
      <c r="Q24" s="117">
        <f t="shared" si="2"/>
        <v>0</v>
      </c>
      <c r="R24" s="90">
        <v>0</v>
      </c>
      <c r="S24" s="90">
        <v>0</v>
      </c>
      <c r="T24" s="90">
        <v>0</v>
      </c>
      <c r="U24" s="90">
        <v>0</v>
      </c>
      <c r="V24" s="117">
        <f t="shared" si="3"/>
        <v>0</v>
      </c>
      <c r="W24" s="90">
        <v>0</v>
      </c>
      <c r="X24" s="90">
        <v>0</v>
      </c>
      <c r="Y24" s="51">
        <v>0</v>
      </c>
      <c r="Z24" s="90">
        <v>0</v>
      </c>
      <c r="AA24" s="117">
        <f t="shared" si="6"/>
        <v>0</v>
      </c>
      <c r="AB24" s="90">
        <v>0</v>
      </c>
      <c r="AC24" s="90">
        <v>0</v>
      </c>
      <c r="AD24" s="90">
        <v>0</v>
      </c>
      <c r="AE24" s="90">
        <v>0</v>
      </c>
      <c r="AF24" s="117">
        <v>0</v>
      </c>
      <c r="AG24" s="90">
        <v>0</v>
      </c>
      <c r="AH24" s="90">
        <v>0</v>
      </c>
      <c r="AI24" s="90">
        <v>0</v>
      </c>
      <c r="AJ24" s="90">
        <v>0</v>
      </c>
      <c r="AK24" s="117">
        <f t="shared" si="4"/>
        <v>0</v>
      </c>
      <c r="AL24" s="189">
        <v>0</v>
      </c>
      <c r="AM24" s="189">
        <v>0</v>
      </c>
      <c r="AN24" s="189">
        <v>0</v>
      </c>
      <c r="AO24" s="189">
        <v>0</v>
      </c>
      <c r="AP24" s="208">
        <v>0</v>
      </c>
      <c r="AQ24" s="210">
        <v>0</v>
      </c>
      <c r="AR24" s="189">
        <v>0</v>
      </c>
      <c r="AS24" s="189">
        <v>0</v>
      </c>
      <c r="AT24" s="189">
        <v>0</v>
      </c>
      <c r="AU24" s="208">
        <v>0</v>
      </c>
      <c r="AV24" s="189">
        <v>0</v>
      </c>
      <c r="AW24" s="189">
        <v>5</v>
      </c>
      <c r="AX24" s="189">
        <v>0</v>
      </c>
      <c r="AY24" s="189">
        <v>0</v>
      </c>
      <c r="AZ24" s="208">
        <v>5</v>
      </c>
      <c r="BA24" s="189">
        <v>7</v>
      </c>
      <c r="BB24" s="189">
        <v>0</v>
      </c>
      <c r="BC24" s="189">
        <v>0</v>
      </c>
      <c r="BD24" s="189">
        <v>0</v>
      </c>
      <c r="BE24" s="208">
        <v>7</v>
      </c>
      <c r="BF24" s="189">
        <v>0</v>
      </c>
      <c r="BG24" s="189">
        <v>0</v>
      </c>
      <c r="BH24" s="189">
        <v>0</v>
      </c>
      <c r="BI24" s="189">
        <v>0</v>
      </c>
      <c r="BJ24" s="117">
        <v>0</v>
      </c>
      <c r="BK24" s="51">
        <f t="shared" si="5"/>
        <v>42</v>
      </c>
      <c r="BL24" s="300"/>
    </row>
    <row r="25" spans="1:64">
      <c r="A25" s="302"/>
      <c r="B25" s="91" t="s">
        <v>173</v>
      </c>
      <c r="C25" s="97">
        <v>0</v>
      </c>
      <c r="D25" s="98">
        <v>0</v>
      </c>
      <c r="E25" s="97">
        <v>0</v>
      </c>
      <c r="F25" s="98">
        <v>0</v>
      </c>
      <c r="G25" s="117">
        <f t="shared" si="0"/>
        <v>0</v>
      </c>
      <c r="H25" s="98">
        <v>0</v>
      </c>
      <c r="I25" s="98">
        <v>0</v>
      </c>
      <c r="J25" s="97">
        <v>0</v>
      </c>
      <c r="K25" s="97">
        <v>0</v>
      </c>
      <c r="L25" s="117">
        <f t="shared" si="1"/>
        <v>0</v>
      </c>
      <c r="M25" s="98">
        <v>0</v>
      </c>
      <c r="N25" s="98">
        <v>0</v>
      </c>
      <c r="O25" s="98">
        <v>0</v>
      </c>
      <c r="P25" s="98">
        <v>0</v>
      </c>
      <c r="Q25" s="117">
        <f t="shared" si="2"/>
        <v>0</v>
      </c>
      <c r="R25" s="90">
        <v>0</v>
      </c>
      <c r="S25" s="90">
        <v>0</v>
      </c>
      <c r="T25" s="90">
        <v>0</v>
      </c>
      <c r="U25" s="90">
        <v>0</v>
      </c>
      <c r="V25" s="117">
        <f t="shared" si="3"/>
        <v>0</v>
      </c>
      <c r="W25" s="90">
        <v>0</v>
      </c>
      <c r="X25" s="90">
        <v>0</v>
      </c>
      <c r="Y25" s="51">
        <v>0</v>
      </c>
      <c r="Z25" s="90">
        <v>0</v>
      </c>
      <c r="AA25" s="117">
        <f t="shared" si="6"/>
        <v>0</v>
      </c>
      <c r="AB25" s="90">
        <v>0</v>
      </c>
      <c r="AC25" s="90">
        <v>0</v>
      </c>
      <c r="AD25" s="90">
        <v>0</v>
      </c>
      <c r="AE25" s="90">
        <v>0</v>
      </c>
      <c r="AF25" s="117">
        <v>0</v>
      </c>
      <c r="AG25" s="90">
        <v>0</v>
      </c>
      <c r="AH25" s="90">
        <v>0</v>
      </c>
      <c r="AI25" s="90">
        <v>0</v>
      </c>
      <c r="AJ25" s="90">
        <v>0</v>
      </c>
      <c r="AK25" s="117">
        <f t="shared" si="4"/>
        <v>0</v>
      </c>
      <c r="AL25" s="189">
        <v>0</v>
      </c>
      <c r="AM25" s="189">
        <v>0</v>
      </c>
      <c r="AN25" s="189">
        <v>0</v>
      </c>
      <c r="AO25" s="189">
        <v>4</v>
      </c>
      <c r="AP25" s="208">
        <v>4</v>
      </c>
      <c r="AQ25" s="210">
        <v>0</v>
      </c>
      <c r="AR25" s="189">
        <v>0</v>
      </c>
      <c r="AS25" s="189">
        <v>0</v>
      </c>
      <c r="AT25" s="189">
        <v>0</v>
      </c>
      <c r="AU25" s="208">
        <v>0</v>
      </c>
      <c r="AV25" s="189">
        <v>0</v>
      </c>
      <c r="AW25" s="189">
        <v>0</v>
      </c>
      <c r="AX25" s="189">
        <v>0</v>
      </c>
      <c r="AY25" s="189">
        <v>0</v>
      </c>
      <c r="AZ25" s="208">
        <v>0</v>
      </c>
      <c r="BA25" s="189">
        <v>0</v>
      </c>
      <c r="BB25" s="189">
        <v>0</v>
      </c>
      <c r="BC25" s="189">
        <v>0</v>
      </c>
      <c r="BD25" s="189">
        <v>0</v>
      </c>
      <c r="BE25" s="208">
        <v>0</v>
      </c>
      <c r="BF25" s="189">
        <v>0</v>
      </c>
      <c r="BG25" s="189">
        <v>0</v>
      </c>
      <c r="BH25" s="189">
        <v>0</v>
      </c>
      <c r="BI25" s="189">
        <v>0</v>
      </c>
      <c r="BJ25" s="117">
        <v>0</v>
      </c>
      <c r="BK25" s="51">
        <f t="shared" si="5"/>
        <v>4</v>
      </c>
      <c r="BL25" s="300"/>
    </row>
    <row r="26" spans="1:64">
      <c r="A26" s="298" t="s">
        <v>180</v>
      </c>
      <c r="B26" s="89" t="s">
        <v>172</v>
      </c>
      <c r="C26" s="97">
        <v>0</v>
      </c>
      <c r="D26" s="98">
        <v>1</v>
      </c>
      <c r="E26" s="98">
        <v>2</v>
      </c>
      <c r="F26" s="98">
        <v>0</v>
      </c>
      <c r="G26" s="117">
        <f t="shared" si="0"/>
        <v>3</v>
      </c>
      <c r="H26" s="98">
        <v>0</v>
      </c>
      <c r="I26" s="98">
        <v>0</v>
      </c>
      <c r="J26" s="97">
        <v>0</v>
      </c>
      <c r="K26" s="98">
        <f>3+31</f>
        <v>34</v>
      </c>
      <c r="L26" s="117">
        <f t="shared" si="1"/>
        <v>34</v>
      </c>
      <c r="M26" s="98">
        <v>0</v>
      </c>
      <c r="N26" s="98">
        <v>0</v>
      </c>
      <c r="O26" s="98">
        <v>0</v>
      </c>
      <c r="P26" s="98">
        <v>0</v>
      </c>
      <c r="Q26" s="117">
        <f t="shared" si="2"/>
        <v>0</v>
      </c>
      <c r="R26" s="90">
        <v>0</v>
      </c>
      <c r="S26" s="90">
        <v>0</v>
      </c>
      <c r="T26" s="90">
        <v>0</v>
      </c>
      <c r="U26" s="90">
        <v>0</v>
      </c>
      <c r="V26" s="117">
        <f t="shared" si="3"/>
        <v>0</v>
      </c>
      <c r="W26" s="90">
        <v>0</v>
      </c>
      <c r="X26" s="90">
        <v>0</v>
      </c>
      <c r="Y26" s="51">
        <v>0</v>
      </c>
      <c r="Z26" s="90">
        <v>0</v>
      </c>
      <c r="AA26" s="117">
        <f t="shared" si="6"/>
        <v>0</v>
      </c>
      <c r="AB26" s="90">
        <v>0</v>
      </c>
      <c r="AC26" s="90">
        <v>0</v>
      </c>
      <c r="AD26" s="90">
        <v>0</v>
      </c>
      <c r="AE26" s="90">
        <v>0</v>
      </c>
      <c r="AF26" s="117">
        <v>0</v>
      </c>
      <c r="AG26" s="90">
        <v>0</v>
      </c>
      <c r="AH26" s="90">
        <v>0</v>
      </c>
      <c r="AI26" s="90">
        <v>0</v>
      </c>
      <c r="AJ26" s="90">
        <v>0</v>
      </c>
      <c r="AK26" s="117">
        <f t="shared" si="4"/>
        <v>0</v>
      </c>
      <c r="AL26" s="189">
        <v>0</v>
      </c>
      <c r="AM26" s="189">
        <v>0</v>
      </c>
      <c r="AN26" s="189">
        <v>0</v>
      </c>
      <c r="AO26" s="189">
        <v>0</v>
      </c>
      <c r="AP26" s="208">
        <v>0</v>
      </c>
      <c r="AQ26" s="210">
        <v>0</v>
      </c>
      <c r="AR26" s="189">
        <v>0</v>
      </c>
      <c r="AS26" s="189">
        <v>0</v>
      </c>
      <c r="AT26" s="189">
        <v>0</v>
      </c>
      <c r="AU26" s="208">
        <v>0</v>
      </c>
      <c r="AV26" s="189">
        <v>0</v>
      </c>
      <c r="AW26" s="189">
        <v>0</v>
      </c>
      <c r="AX26" s="189">
        <v>0</v>
      </c>
      <c r="AY26" s="189">
        <v>0</v>
      </c>
      <c r="AZ26" s="208">
        <v>0</v>
      </c>
      <c r="BA26" s="189">
        <v>5</v>
      </c>
      <c r="BB26" s="189">
        <v>0</v>
      </c>
      <c r="BC26" s="189">
        <v>0</v>
      </c>
      <c r="BD26" s="189">
        <v>0</v>
      </c>
      <c r="BE26" s="208">
        <v>5</v>
      </c>
      <c r="BF26" s="189">
        <v>0</v>
      </c>
      <c r="BG26" s="189">
        <v>10</v>
      </c>
      <c r="BH26" s="189">
        <v>0</v>
      </c>
      <c r="BI26" s="189">
        <v>0</v>
      </c>
      <c r="BJ26" s="117">
        <v>0</v>
      </c>
      <c r="BK26" s="90">
        <f t="shared" si="5"/>
        <v>42</v>
      </c>
      <c r="BL26" s="300"/>
    </row>
    <row r="27" spans="1:64">
      <c r="A27" s="298"/>
      <c r="B27" s="89" t="s">
        <v>173</v>
      </c>
      <c r="C27" s="97">
        <v>0</v>
      </c>
      <c r="D27" s="98">
        <v>0</v>
      </c>
      <c r="E27" s="98">
        <v>0</v>
      </c>
      <c r="F27" s="98">
        <v>0</v>
      </c>
      <c r="G27" s="117">
        <f t="shared" si="0"/>
        <v>0</v>
      </c>
      <c r="H27" s="98">
        <v>0</v>
      </c>
      <c r="I27" s="98">
        <v>0</v>
      </c>
      <c r="J27" s="97">
        <v>0</v>
      </c>
      <c r="K27" s="98">
        <v>1</v>
      </c>
      <c r="L27" s="117">
        <f t="shared" si="1"/>
        <v>1</v>
      </c>
      <c r="M27" s="98">
        <v>0</v>
      </c>
      <c r="N27" s="98">
        <v>0</v>
      </c>
      <c r="O27" s="98">
        <v>0</v>
      </c>
      <c r="P27" s="98">
        <v>0</v>
      </c>
      <c r="Q27" s="117">
        <f t="shared" si="2"/>
        <v>0</v>
      </c>
      <c r="R27" s="90">
        <v>0</v>
      </c>
      <c r="S27" s="90">
        <v>0</v>
      </c>
      <c r="T27" s="90">
        <v>0</v>
      </c>
      <c r="U27" s="90">
        <v>0</v>
      </c>
      <c r="V27" s="117">
        <f t="shared" si="3"/>
        <v>0</v>
      </c>
      <c r="W27" s="90">
        <v>0</v>
      </c>
      <c r="X27" s="90">
        <v>0</v>
      </c>
      <c r="Y27" s="51">
        <v>0</v>
      </c>
      <c r="Z27" s="90">
        <v>0</v>
      </c>
      <c r="AA27" s="119">
        <f t="shared" si="6"/>
        <v>0</v>
      </c>
      <c r="AB27" s="90">
        <v>0</v>
      </c>
      <c r="AC27" s="90">
        <v>0</v>
      </c>
      <c r="AD27" s="90">
        <v>0</v>
      </c>
      <c r="AE27" s="90">
        <v>0</v>
      </c>
      <c r="AF27" s="117">
        <v>0</v>
      </c>
      <c r="AG27" s="90">
        <v>0</v>
      </c>
      <c r="AH27" s="90">
        <v>0</v>
      </c>
      <c r="AI27" s="90">
        <v>0</v>
      </c>
      <c r="AJ27" s="90">
        <v>0</v>
      </c>
      <c r="AK27" s="117">
        <f t="shared" si="4"/>
        <v>0</v>
      </c>
      <c r="AL27" s="189">
        <v>0</v>
      </c>
      <c r="AM27" s="189">
        <v>0</v>
      </c>
      <c r="AN27" s="189">
        <v>0</v>
      </c>
      <c r="AO27" s="189">
        <v>0</v>
      </c>
      <c r="AP27" s="208">
        <v>0</v>
      </c>
      <c r="AQ27" s="210">
        <v>0</v>
      </c>
      <c r="AR27" s="189">
        <v>0</v>
      </c>
      <c r="AS27" s="189">
        <v>0</v>
      </c>
      <c r="AT27" s="189">
        <v>0</v>
      </c>
      <c r="AU27" s="208">
        <v>0</v>
      </c>
      <c r="AV27" s="189">
        <v>0</v>
      </c>
      <c r="AW27" s="189">
        <v>0</v>
      </c>
      <c r="AX27" s="189">
        <v>0</v>
      </c>
      <c r="AY27" s="189">
        <v>0</v>
      </c>
      <c r="AZ27" s="208">
        <v>0</v>
      </c>
      <c r="BA27" s="189">
        <v>0</v>
      </c>
      <c r="BB27" s="189">
        <v>0</v>
      </c>
      <c r="BC27" s="189">
        <v>0</v>
      </c>
      <c r="BD27" s="189">
        <v>0</v>
      </c>
      <c r="BE27" s="208">
        <v>0</v>
      </c>
      <c r="BF27" s="189">
        <v>0</v>
      </c>
      <c r="BG27" s="189">
        <v>0</v>
      </c>
      <c r="BH27" s="189">
        <v>0</v>
      </c>
      <c r="BI27" s="189">
        <v>0</v>
      </c>
      <c r="BJ27" s="117">
        <v>0</v>
      </c>
      <c r="BK27" s="90">
        <f t="shared" si="5"/>
        <v>1</v>
      </c>
      <c r="BL27" s="300"/>
    </row>
    <row r="28" spans="1:64">
      <c r="A28" s="298" t="s">
        <v>181</v>
      </c>
      <c r="B28" s="89" t="s">
        <v>172</v>
      </c>
      <c r="C28" s="97">
        <v>0</v>
      </c>
      <c r="D28" s="98">
        <v>0</v>
      </c>
      <c r="E28" s="98">
        <v>0</v>
      </c>
      <c r="F28" s="98">
        <v>0</v>
      </c>
      <c r="G28" s="117">
        <f t="shared" si="0"/>
        <v>0</v>
      </c>
      <c r="H28" s="98">
        <v>0</v>
      </c>
      <c r="I28" s="98">
        <v>10</v>
      </c>
      <c r="J28" s="97">
        <v>0</v>
      </c>
      <c r="K28" s="98">
        <v>0</v>
      </c>
      <c r="L28" s="117">
        <f t="shared" si="1"/>
        <v>10</v>
      </c>
      <c r="M28" s="98">
        <v>0</v>
      </c>
      <c r="N28" s="98">
        <v>0</v>
      </c>
      <c r="O28" s="98">
        <v>0</v>
      </c>
      <c r="P28" s="98">
        <v>0</v>
      </c>
      <c r="Q28" s="117">
        <f t="shared" si="2"/>
        <v>0</v>
      </c>
      <c r="R28" s="90">
        <v>0</v>
      </c>
      <c r="S28" s="90">
        <v>0</v>
      </c>
      <c r="T28" s="90">
        <v>0</v>
      </c>
      <c r="U28" s="90">
        <v>0</v>
      </c>
      <c r="V28" s="117">
        <f t="shared" si="3"/>
        <v>0</v>
      </c>
      <c r="W28" s="90">
        <v>0</v>
      </c>
      <c r="X28" s="90">
        <v>0</v>
      </c>
      <c r="Y28" s="98">
        <v>6</v>
      </c>
      <c r="Z28" s="90">
        <v>0</v>
      </c>
      <c r="AA28" s="117">
        <f t="shared" si="6"/>
        <v>6</v>
      </c>
      <c r="AB28" s="90">
        <v>0</v>
      </c>
      <c r="AC28" s="90">
        <v>0</v>
      </c>
      <c r="AD28" s="90">
        <v>0</v>
      </c>
      <c r="AE28" s="90">
        <v>0</v>
      </c>
      <c r="AF28" s="117">
        <v>0</v>
      </c>
      <c r="AG28" s="90">
        <v>0</v>
      </c>
      <c r="AH28" s="90">
        <v>0</v>
      </c>
      <c r="AI28" s="90">
        <v>0</v>
      </c>
      <c r="AJ28" s="90">
        <v>0</v>
      </c>
      <c r="AK28" s="117">
        <f t="shared" si="4"/>
        <v>0</v>
      </c>
      <c r="AL28" s="189">
        <v>0</v>
      </c>
      <c r="AM28" s="189">
        <v>0</v>
      </c>
      <c r="AN28" s="189">
        <v>0</v>
      </c>
      <c r="AO28" s="189">
        <v>0</v>
      </c>
      <c r="AP28" s="208">
        <v>0</v>
      </c>
      <c r="AQ28" s="210">
        <v>0</v>
      </c>
      <c r="AR28" s="189">
        <v>0</v>
      </c>
      <c r="AS28" s="189">
        <v>0</v>
      </c>
      <c r="AT28" s="189">
        <v>0</v>
      </c>
      <c r="AU28" s="208">
        <v>0</v>
      </c>
      <c r="AV28" s="189">
        <v>0</v>
      </c>
      <c r="AW28" s="189">
        <v>3</v>
      </c>
      <c r="AX28" s="189">
        <v>0</v>
      </c>
      <c r="AY28" s="189">
        <v>20</v>
      </c>
      <c r="AZ28" s="208">
        <v>23</v>
      </c>
      <c r="BA28" s="189">
        <v>3</v>
      </c>
      <c r="BB28" s="189">
        <v>0</v>
      </c>
      <c r="BC28" s="189">
        <v>0</v>
      </c>
      <c r="BD28" s="189">
        <v>0</v>
      </c>
      <c r="BE28" s="208">
        <v>3</v>
      </c>
      <c r="BF28" s="189">
        <v>0</v>
      </c>
      <c r="BG28" s="189">
        <v>0</v>
      </c>
      <c r="BH28" s="189">
        <v>0</v>
      </c>
      <c r="BI28" s="189">
        <v>0</v>
      </c>
      <c r="BJ28" s="117">
        <v>0</v>
      </c>
      <c r="BK28" s="90">
        <f t="shared" si="5"/>
        <v>42</v>
      </c>
      <c r="BL28" s="300"/>
    </row>
    <row r="29" spans="1:64">
      <c r="A29" s="298"/>
      <c r="B29" s="89" t="s">
        <v>173</v>
      </c>
      <c r="C29" s="97">
        <v>0</v>
      </c>
      <c r="D29" s="98">
        <v>0</v>
      </c>
      <c r="E29" s="98">
        <v>0</v>
      </c>
      <c r="F29" s="98">
        <v>0</v>
      </c>
      <c r="G29" s="117">
        <f t="shared" si="0"/>
        <v>0</v>
      </c>
      <c r="H29" s="98">
        <v>0</v>
      </c>
      <c r="I29" s="98">
        <v>0</v>
      </c>
      <c r="J29" s="97">
        <v>0</v>
      </c>
      <c r="K29" s="98">
        <v>0</v>
      </c>
      <c r="L29" s="117">
        <f t="shared" si="1"/>
        <v>0</v>
      </c>
      <c r="M29" s="98">
        <v>0</v>
      </c>
      <c r="N29" s="98">
        <v>0</v>
      </c>
      <c r="O29" s="98">
        <v>0</v>
      </c>
      <c r="P29" s="98">
        <v>0</v>
      </c>
      <c r="Q29" s="117">
        <f t="shared" si="2"/>
        <v>0</v>
      </c>
      <c r="R29" s="90">
        <v>0</v>
      </c>
      <c r="S29" s="90">
        <v>0</v>
      </c>
      <c r="T29" s="90">
        <v>0</v>
      </c>
      <c r="U29" s="90">
        <v>0</v>
      </c>
      <c r="V29" s="117">
        <f t="shared" si="3"/>
        <v>0</v>
      </c>
      <c r="W29" s="90">
        <v>0</v>
      </c>
      <c r="X29" s="90">
        <v>0</v>
      </c>
      <c r="Y29" s="90">
        <v>0</v>
      </c>
      <c r="Z29" s="90">
        <v>0</v>
      </c>
      <c r="AA29" s="117">
        <f t="shared" si="6"/>
        <v>0</v>
      </c>
      <c r="AB29" s="90">
        <v>0</v>
      </c>
      <c r="AC29" s="90">
        <v>0</v>
      </c>
      <c r="AD29" s="90">
        <v>0</v>
      </c>
      <c r="AE29" s="90">
        <v>0</v>
      </c>
      <c r="AF29" s="117">
        <v>0</v>
      </c>
      <c r="AG29" s="90">
        <v>0</v>
      </c>
      <c r="AH29" s="90">
        <v>0</v>
      </c>
      <c r="AI29" s="90">
        <v>0</v>
      </c>
      <c r="AJ29" s="90">
        <v>0</v>
      </c>
      <c r="AK29" s="117">
        <f t="shared" si="4"/>
        <v>0</v>
      </c>
      <c r="AL29" s="189">
        <v>0</v>
      </c>
      <c r="AM29" s="189">
        <v>0</v>
      </c>
      <c r="AN29" s="189">
        <v>0</v>
      </c>
      <c r="AO29" s="189">
        <v>0</v>
      </c>
      <c r="AP29" s="208">
        <v>0</v>
      </c>
      <c r="AQ29" s="210">
        <v>0</v>
      </c>
      <c r="AR29" s="189">
        <v>0</v>
      </c>
      <c r="AS29" s="189">
        <v>0</v>
      </c>
      <c r="AT29" s="189">
        <v>0</v>
      </c>
      <c r="AU29" s="208">
        <v>0</v>
      </c>
      <c r="AV29" s="189">
        <v>0</v>
      </c>
      <c r="AW29" s="189">
        <v>0</v>
      </c>
      <c r="AX29" s="189">
        <v>0</v>
      </c>
      <c r="AY29" s="189">
        <v>0</v>
      </c>
      <c r="AZ29" s="208">
        <v>0</v>
      </c>
      <c r="BA29" s="189">
        <v>1</v>
      </c>
      <c r="BB29" s="189">
        <v>0</v>
      </c>
      <c r="BC29" s="189">
        <v>0</v>
      </c>
      <c r="BD29" s="189">
        <v>0</v>
      </c>
      <c r="BE29" s="208">
        <v>1</v>
      </c>
      <c r="BF29" s="189">
        <v>0</v>
      </c>
      <c r="BG29" s="189">
        <v>0</v>
      </c>
      <c r="BH29" s="189">
        <v>0</v>
      </c>
      <c r="BI29" s="189">
        <v>0</v>
      </c>
      <c r="BJ29" s="117">
        <v>0</v>
      </c>
      <c r="BK29" s="90">
        <f t="shared" si="5"/>
        <v>1</v>
      </c>
      <c r="BL29" s="300"/>
    </row>
    <row r="30" spans="1:64">
      <c r="A30" s="298" t="s">
        <v>182</v>
      </c>
      <c r="B30" s="89" t="s">
        <v>172</v>
      </c>
      <c r="C30" s="97">
        <v>0</v>
      </c>
      <c r="D30" s="98">
        <v>0</v>
      </c>
      <c r="E30" s="98">
        <v>0</v>
      </c>
      <c r="F30" s="98">
        <v>0</v>
      </c>
      <c r="G30" s="117">
        <f t="shared" si="0"/>
        <v>0</v>
      </c>
      <c r="H30" s="98">
        <v>0</v>
      </c>
      <c r="I30" s="98">
        <v>0</v>
      </c>
      <c r="J30" s="97">
        <v>0</v>
      </c>
      <c r="K30" s="98">
        <v>0</v>
      </c>
      <c r="L30" s="117">
        <f t="shared" si="1"/>
        <v>0</v>
      </c>
      <c r="M30" s="98">
        <v>4</v>
      </c>
      <c r="N30" s="98">
        <v>0</v>
      </c>
      <c r="O30" s="98">
        <v>0</v>
      </c>
      <c r="P30" s="98">
        <v>0</v>
      </c>
      <c r="Q30" s="117">
        <f t="shared" si="2"/>
        <v>4</v>
      </c>
      <c r="R30" s="90">
        <v>0</v>
      </c>
      <c r="S30" s="90">
        <v>0</v>
      </c>
      <c r="T30" s="90">
        <v>0</v>
      </c>
      <c r="U30" s="90">
        <v>0</v>
      </c>
      <c r="V30" s="117">
        <f t="shared" si="3"/>
        <v>0</v>
      </c>
      <c r="W30" s="90">
        <v>0</v>
      </c>
      <c r="X30" s="90">
        <v>0</v>
      </c>
      <c r="Y30" s="90">
        <v>0</v>
      </c>
      <c r="Z30" s="90">
        <v>0</v>
      </c>
      <c r="AA30" s="119">
        <f t="shared" si="6"/>
        <v>0</v>
      </c>
      <c r="AB30" s="90">
        <v>0</v>
      </c>
      <c r="AC30" s="90">
        <v>0</v>
      </c>
      <c r="AD30" s="90">
        <v>0</v>
      </c>
      <c r="AE30" s="90">
        <v>0</v>
      </c>
      <c r="AF30" s="117">
        <v>0</v>
      </c>
      <c r="AG30" s="90">
        <v>0</v>
      </c>
      <c r="AH30" s="90">
        <v>0</v>
      </c>
      <c r="AI30" s="90">
        <v>0</v>
      </c>
      <c r="AJ30" s="90">
        <v>0</v>
      </c>
      <c r="AK30" s="117">
        <f t="shared" si="4"/>
        <v>0</v>
      </c>
      <c r="AL30" s="189">
        <v>0</v>
      </c>
      <c r="AM30" s="189">
        <v>0</v>
      </c>
      <c r="AN30" s="189">
        <v>0</v>
      </c>
      <c r="AO30" s="189">
        <v>0</v>
      </c>
      <c r="AP30" s="208">
        <v>0</v>
      </c>
      <c r="AQ30" s="210">
        <v>0</v>
      </c>
      <c r="AR30" s="189">
        <v>0</v>
      </c>
      <c r="AS30" s="189">
        <v>0</v>
      </c>
      <c r="AT30" s="189">
        <v>0</v>
      </c>
      <c r="AU30" s="211">
        <v>0</v>
      </c>
      <c r="AV30" s="189">
        <v>0</v>
      </c>
      <c r="AW30" s="189">
        <v>0</v>
      </c>
      <c r="AX30" s="189">
        <v>0</v>
      </c>
      <c r="AY30" s="189">
        <v>0</v>
      </c>
      <c r="AZ30" s="208">
        <v>0</v>
      </c>
      <c r="BA30" s="189">
        <v>2</v>
      </c>
      <c r="BB30" s="189">
        <v>0</v>
      </c>
      <c r="BC30" s="189">
        <v>0</v>
      </c>
      <c r="BD30" s="189">
        <v>0</v>
      </c>
      <c r="BE30" s="208">
        <v>2</v>
      </c>
      <c r="BF30" s="189">
        <v>0</v>
      </c>
      <c r="BG30" s="189">
        <v>0</v>
      </c>
      <c r="BH30" s="189">
        <v>0</v>
      </c>
      <c r="BI30" s="189">
        <v>0</v>
      </c>
      <c r="BJ30" s="117">
        <v>0</v>
      </c>
      <c r="BK30" s="90">
        <f t="shared" si="5"/>
        <v>6</v>
      </c>
      <c r="BL30" s="300"/>
    </row>
    <row r="31" spans="1:64">
      <c r="A31" s="298"/>
      <c r="B31" s="89" t="s">
        <v>173</v>
      </c>
      <c r="C31" s="97">
        <v>0</v>
      </c>
      <c r="D31" s="98">
        <v>0</v>
      </c>
      <c r="E31" s="98">
        <v>0</v>
      </c>
      <c r="F31" s="98">
        <v>0</v>
      </c>
      <c r="G31" s="117">
        <f t="shared" si="0"/>
        <v>0</v>
      </c>
      <c r="H31" s="98">
        <v>0</v>
      </c>
      <c r="I31" s="98">
        <v>0</v>
      </c>
      <c r="J31" s="97">
        <v>0</v>
      </c>
      <c r="K31" s="98">
        <v>0</v>
      </c>
      <c r="L31" s="117">
        <f t="shared" si="1"/>
        <v>0</v>
      </c>
      <c r="M31" s="98">
        <v>2</v>
      </c>
      <c r="N31" s="98">
        <v>0</v>
      </c>
      <c r="O31" s="98">
        <v>0</v>
      </c>
      <c r="P31" s="98">
        <v>0</v>
      </c>
      <c r="Q31" s="117">
        <f t="shared" si="2"/>
        <v>2</v>
      </c>
      <c r="R31" s="90">
        <v>0</v>
      </c>
      <c r="S31" s="90">
        <v>0</v>
      </c>
      <c r="T31" s="90">
        <v>0</v>
      </c>
      <c r="U31" s="90">
        <v>0</v>
      </c>
      <c r="V31" s="117">
        <f t="shared" si="3"/>
        <v>0</v>
      </c>
      <c r="W31" s="90">
        <v>0</v>
      </c>
      <c r="X31" s="90">
        <v>0</v>
      </c>
      <c r="Y31" s="90">
        <v>0</v>
      </c>
      <c r="Z31" s="90">
        <v>0</v>
      </c>
      <c r="AA31" s="117">
        <f t="shared" si="6"/>
        <v>0</v>
      </c>
      <c r="AB31" s="90">
        <v>0</v>
      </c>
      <c r="AC31" s="90">
        <v>0</v>
      </c>
      <c r="AD31" s="90">
        <v>0</v>
      </c>
      <c r="AE31" s="90">
        <v>0</v>
      </c>
      <c r="AF31" s="117">
        <v>0</v>
      </c>
      <c r="AG31" s="90">
        <v>0</v>
      </c>
      <c r="AH31" s="90">
        <v>0</v>
      </c>
      <c r="AI31" s="90">
        <v>0</v>
      </c>
      <c r="AJ31" s="90">
        <v>0</v>
      </c>
      <c r="AK31" s="117">
        <f t="shared" si="4"/>
        <v>0</v>
      </c>
      <c r="AL31" s="189">
        <v>0</v>
      </c>
      <c r="AM31" s="189">
        <v>0</v>
      </c>
      <c r="AN31" s="189">
        <v>0</v>
      </c>
      <c r="AO31" s="189">
        <v>0</v>
      </c>
      <c r="AP31" s="208">
        <v>0</v>
      </c>
      <c r="AQ31" s="210">
        <v>0</v>
      </c>
      <c r="AR31" s="189">
        <v>0</v>
      </c>
      <c r="AS31" s="189">
        <v>0</v>
      </c>
      <c r="AT31" s="189">
        <v>0</v>
      </c>
      <c r="AU31" s="211">
        <v>0</v>
      </c>
      <c r="AV31" s="189">
        <v>0</v>
      </c>
      <c r="AW31" s="189">
        <v>0</v>
      </c>
      <c r="AX31" s="189">
        <v>0</v>
      </c>
      <c r="AY31" s="189">
        <v>0</v>
      </c>
      <c r="AZ31" s="208">
        <v>0</v>
      </c>
      <c r="BA31" s="189">
        <v>0</v>
      </c>
      <c r="BB31" s="189">
        <v>0</v>
      </c>
      <c r="BC31" s="189">
        <v>0</v>
      </c>
      <c r="BD31" s="189">
        <v>0</v>
      </c>
      <c r="BE31" s="208">
        <v>0</v>
      </c>
      <c r="BF31" s="189">
        <v>0</v>
      </c>
      <c r="BG31" s="189">
        <v>0</v>
      </c>
      <c r="BH31" s="189">
        <v>0</v>
      </c>
      <c r="BI31" s="189">
        <v>0</v>
      </c>
      <c r="BJ31" s="117">
        <v>0</v>
      </c>
      <c r="BK31" s="90">
        <f t="shared" si="5"/>
        <v>2</v>
      </c>
      <c r="BL31" s="300"/>
    </row>
    <row r="32" spans="1:64">
      <c r="A32" s="298" t="s">
        <v>183</v>
      </c>
      <c r="B32" s="89" t="s">
        <v>172</v>
      </c>
      <c r="C32" s="97">
        <v>0</v>
      </c>
      <c r="D32" s="98">
        <v>0</v>
      </c>
      <c r="E32" s="98">
        <v>0</v>
      </c>
      <c r="F32" s="98">
        <v>0</v>
      </c>
      <c r="G32" s="117">
        <f t="shared" si="0"/>
        <v>0</v>
      </c>
      <c r="H32" s="98">
        <v>0</v>
      </c>
      <c r="I32" s="98">
        <v>0</v>
      </c>
      <c r="J32" s="97">
        <v>0</v>
      </c>
      <c r="K32" s="98">
        <v>0</v>
      </c>
      <c r="L32" s="117">
        <f t="shared" si="1"/>
        <v>0</v>
      </c>
      <c r="M32" s="98">
        <v>0</v>
      </c>
      <c r="N32" s="98">
        <v>0</v>
      </c>
      <c r="O32" s="98">
        <v>0</v>
      </c>
      <c r="P32" s="98">
        <v>0</v>
      </c>
      <c r="Q32" s="117">
        <f t="shared" si="2"/>
        <v>0</v>
      </c>
      <c r="R32" s="90">
        <v>0</v>
      </c>
      <c r="S32" s="90">
        <v>0</v>
      </c>
      <c r="T32" s="90">
        <v>0</v>
      </c>
      <c r="U32" s="90">
        <v>0</v>
      </c>
      <c r="V32" s="117">
        <f t="shared" si="3"/>
        <v>0</v>
      </c>
      <c r="W32" s="90">
        <v>0</v>
      </c>
      <c r="X32" s="90">
        <v>0</v>
      </c>
      <c r="Y32" s="90">
        <v>0</v>
      </c>
      <c r="Z32" s="90">
        <v>0</v>
      </c>
      <c r="AA32" s="117">
        <f t="shared" si="6"/>
        <v>0</v>
      </c>
      <c r="AB32" s="90">
        <v>0</v>
      </c>
      <c r="AC32" s="90">
        <v>0</v>
      </c>
      <c r="AD32" s="90">
        <v>0</v>
      </c>
      <c r="AE32" s="90">
        <v>0</v>
      </c>
      <c r="AF32" s="117">
        <v>0</v>
      </c>
      <c r="AG32" s="90">
        <v>0</v>
      </c>
      <c r="AH32" s="90">
        <v>0</v>
      </c>
      <c r="AI32" s="90">
        <v>0</v>
      </c>
      <c r="AJ32" s="90">
        <v>0</v>
      </c>
      <c r="AK32" s="117">
        <f t="shared" si="4"/>
        <v>0</v>
      </c>
      <c r="AL32" s="189">
        <v>0</v>
      </c>
      <c r="AM32" s="189">
        <v>0</v>
      </c>
      <c r="AN32" s="189">
        <v>0</v>
      </c>
      <c r="AO32" s="189">
        <v>0</v>
      </c>
      <c r="AP32" s="208">
        <v>0</v>
      </c>
      <c r="AQ32" s="210">
        <v>0</v>
      </c>
      <c r="AR32" s="189">
        <v>0</v>
      </c>
      <c r="AS32" s="189">
        <v>0</v>
      </c>
      <c r="AT32" s="189">
        <v>0</v>
      </c>
      <c r="AU32" s="211">
        <v>0</v>
      </c>
      <c r="AV32" s="189">
        <v>0</v>
      </c>
      <c r="AW32" s="189">
        <v>0</v>
      </c>
      <c r="AX32" s="189">
        <v>0</v>
      </c>
      <c r="AY32" s="189">
        <v>0</v>
      </c>
      <c r="AZ32" s="208">
        <v>0</v>
      </c>
      <c r="BA32" s="189">
        <v>0</v>
      </c>
      <c r="BB32" s="189">
        <v>0</v>
      </c>
      <c r="BC32" s="189">
        <v>0</v>
      </c>
      <c r="BD32" s="189">
        <v>0</v>
      </c>
      <c r="BE32" s="208">
        <v>0</v>
      </c>
      <c r="BF32" s="189">
        <v>0</v>
      </c>
      <c r="BG32" s="189">
        <v>0</v>
      </c>
      <c r="BH32" s="189">
        <v>0</v>
      </c>
      <c r="BI32" s="189">
        <v>0</v>
      </c>
      <c r="BJ32" s="117">
        <v>0</v>
      </c>
      <c r="BK32" s="90">
        <f t="shared" si="5"/>
        <v>0</v>
      </c>
      <c r="BL32" s="300"/>
    </row>
    <row r="33" spans="1:64">
      <c r="A33" s="298"/>
      <c r="B33" s="89" t="s">
        <v>173</v>
      </c>
      <c r="C33" s="97">
        <v>0</v>
      </c>
      <c r="D33" s="98">
        <v>0</v>
      </c>
      <c r="E33" s="98">
        <v>0</v>
      </c>
      <c r="F33" s="98">
        <v>0</v>
      </c>
      <c r="G33" s="117">
        <f t="shared" si="0"/>
        <v>0</v>
      </c>
      <c r="H33" s="98">
        <v>0</v>
      </c>
      <c r="I33" s="98">
        <v>1</v>
      </c>
      <c r="J33" s="97">
        <v>0</v>
      </c>
      <c r="K33" s="98">
        <v>0</v>
      </c>
      <c r="L33" s="117">
        <f t="shared" si="1"/>
        <v>1</v>
      </c>
      <c r="M33" s="98">
        <v>0</v>
      </c>
      <c r="N33" s="98">
        <v>0</v>
      </c>
      <c r="O33" s="98">
        <v>0</v>
      </c>
      <c r="P33" s="98">
        <v>0</v>
      </c>
      <c r="Q33" s="117">
        <f t="shared" si="2"/>
        <v>0</v>
      </c>
      <c r="R33" s="90">
        <v>0</v>
      </c>
      <c r="S33" s="90">
        <v>0</v>
      </c>
      <c r="T33" s="90">
        <v>0</v>
      </c>
      <c r="U33" s="90">
        <v>0</v>
      </c>
      <c r="V33" s="117">
        <f t="shared" si="3"/>
        <v>0</v>
      </c>
      <c r="W33" s="90">
        <v>0</v>
      </c>
      <c r="X33" s="90">
        <v>0</v>
      </c>
      <c r="Y33" s="90">
        <v>0</v>
      </c>
      <c r="Z33" s="90">
        <v>0</v>
      </c>
      <c r="AA33" s="117">
        <f t="shared" si="6"/>
        <v>0</v>
      </c>
      <c r="AB33" s="90">
        <v>0</v>
      </c>
      <c r="AC33" s="90">
        <v>0</v>
      </c>
      <c r="AD33" s="90">
        <v>0</v>
      </c>
      <c r="AE33" s="90">
        <v>0</v>
      </c>
      <c r="AF33" s="117">
        <v>0</v>
      </c>
      <c r="AG33" s="90">
        <v>0</v>
      </c>
      <c r="AH33" s="90">
        <v>0</v>
      </c>
      <c r="AI33" s="90">
        <v>0</v>
      </c>
      <c r="AJ33" s="90">
        <v>0</v>
      </c>
      <c r="AK33" s="117">
        <f t="shared" si="4"/>
        <v>0</v>
      </c>
      <c r="AL33" s="189">
        <v>0</v>
      </c>
      <c r="AM33" s="189">
        <v>0</v>
      </c>
      <c r="AN33" s="189">
        <v>0</v>
      </c>
      <c r="AO33" s="189">
        <v>0</v>
      </c>
      <c r="AP33" s="208">
        <v>0</v>
      </c>
      <c r="AQ33" s="210">
        <v>0</v>
      </c>
      <c r="AR33" s="189">
        <v>0</v>
      </c>
      <c r="AS33" s="189">
        <v>0</v>
      </c>
      <c r="AT33" s="189">
        <v>0</v>
      </c>
      <c r="AU33" s="211">
        <v>0</v>
      </c>
      <c r="AV33" s="189">
        <v>0</v>
      </c>
      <c r="AW33" s="189">
        <v>0</v>
      </c>
      <c r="AX33" s="189">
        <v>0</v>
      </c>
      <c r="AY33" s="189">
        <v>0</v>
      </c>
      <c r="AZ33" s="208">
        <v>0</v>
      </c>
      <c r="BA33" s="189">
        <v>0</v>
      </c>
      <c r="BB33" s="189">
        <v>0</v>
      </c>
      <c r="BC33" s="189">
        <v>0</v>
      </c>
      <c r="BD33" s="189">
        <v>0</v>
      </c>
      <c r="BE33" s="208">
        <v>0</v>
      </c>
      <c r="BF33" s="189">
        <v>0</v>
      </c>
      <c r="BG33" s="189">
        <v>0</v>
      </c>
      <c r="BH33" s="189">
        <v>0</v>
      </c>
      <c r="BI33" s="189">
        <v>0</v>
      </c>
      <c r="BJ33" s="117">
        <v>0</v>
      </c>
      <c r="BK33" s="90">
        <f t="shared" si="5"/>
        <v>1</v>
      </c>
      <c r="BL33" s="300"/>
    </row>
    <row r="34" spans="1:64">
      <c r="A34" s="303" t="s">
        <v>184</v>
      </c>
      <c r="B34" s="91" t="s">
        <v>172</v>
      </c>
      <c r="C34" s="97">
        <v>0</v>
      </c>
      <c r="D34" s="98">
        <v>0</v>
      </c>
      <c r="E34" s="98">
        <v>0</v>
      </c>
      <c r="F34" s="98">
        <v>0</v>
      </c>
      <c r="G34" s="117">
        <f t="shared" si="0"/>
        <v>0</v>
      </c>
      <c r="H34" s="97">
        <v>0</v>
      </c>
      <c r="I34" s="126">
        <v>0</v>
      </c>
      <c r="J34" s="97">
        <v>0</v>
      </c>
      <c r="K34" s="98">
        <v>0</v>
      </c>
      <c r="L34" s="117">
        <f t="shared" si="1"/>
        <v>0</v>
      </c>
      <c r="M34" s="98">
        <v>0</v>
      </c>
      <c r="N34" s="98">
        <v>0</v>
      </c>
      <c r="O34" s="98">
        <v>0</v>
      </c>
      <c r="P34" s="98">
        <v>0</v>
      </c>
      <c r="Q34" s="117">
        <f t="shared" si="2"/>
        <v>0</v>
      </c>
      <c r="R34" s="90">
        <v>0</v>
      </c>
      <c r="S34" s="90">
        <v>0</v>
      </c>
      <c r="T34" s="90">
        <v>0</v>
      </c>
      <c r="U34" s="90">
        <v>0</v>
      </c>
      <c r="V34" s="117">
        <f t="shared" si="3"/>
        <v>0</v>
      </c>
      <c r="W34" s="90">
        <v>0</v>
      </c>
      <c r="X34" s="90">
        <v>0</v>
      </c>
      <c r="Y34" s="90">
        <v>0</v>
      </c>
      <c r="Z34" s="90">
        <v>0</v>
      </c>
      <c r="AA34" s="119">
        <f t="shared" si="6"/>
        <v>0</v>
      </c>
      <c r="AB34" s="90">
        <v>0</v>
      </c>
      <c r="AC34" s="90">
        <v>0</v>
      </c>
      <c r="AD34" s="90">
        <v>0</v>
      </c>
      <c r="AE34" s="90">
        <v>0</v>
      </c>
      <c r="AF34" s="117">
        <v>0</v>
      </c>
      <c r="AG34" s="90">
        <v>0</v>
      </c>
      <c r="AH34" s="90">
        <v>0</v>
      </c>
      <c r="AI34" s="90">
        <v>0</v>
      </c>
      <c r="AJ34" s="90">
        <v>0</v>
      </c>
      <c r="AK34" s="117">
        <f t="shared" si="4"/>
        <v>0</v>
      </c>
      <c r="AL34" s="189">
        <v>0</v>
      </c>
      <c r="AM34" s="189">
        <v>0</v>
      </c>
      <c r="AN34" s="189">
        <v>0</v>
      </c>
      <c r="AO34" s="189">
        <v>0</v>
      </c>
      <c r="AP34" s="208">
        <v>0</v>
      </c>
      <c r="AQ34" s="210">
        <v>0</v>
      </c>
      <c r="AR34" s="189">
        <v>5</v>
      </c>
      <c r="AS34" s="189">
        <v>0</v>
      </c>
      <c r="AT34" s="189">
        <v>0</v>
      </c>
      <c r="AU34" s="211">
        <v>5</v>
      </c>
      <c r="AV34" s="189">
        <v>0</v>
      </c>
      <c r="AW34" s="189">
        <v>0</v>
      </c>
      <c r="AX34" s="189">
        <v>0</v>
      </c>
      <c r="AY34" s="189">
        <v>5</v>
      </c>
      <c r="AZ34" s="208">
        <v>5</v>
      </c>
      <c r="BA34" s="189">
        <v>5</v>
      </c>
      <c r="BB34" s="189">
        <v>0</v>
      </c>
      <c r="BC34" s="189">
        <v>0</v>
      </c>
      <c r="BD34" s="189">
        <v>0</v>
      </c>
      <c r="BE34" s="208">
        <v>5</v>
      </c>
      <c r="BF34" s="189">
        <v>0</v>
      </c>
      <c r="BG34" s="189">
        <v>0</v>
      </c>
      <c r="BH34" s="189">
        <v>0</v>
      </c>
      <c r="BI34" s="189">
        <v>0</v>
      </c>
      <c r="BJ34" s="117">
        <v>0</v>
      </c>
      <c r="BK34" s="51">
        <f t="shared" si="5"/>
        <v>15</v>
      </c>
      <c r="BL34" s="300"/>
    </row>
    <row r="35" spans="1:64">
      <c r="A35" s="304"/>
      <c r="B35" s="91" t="s">
        <v>173</v>
      </c>
      <c r="C35" s="97">
        <v>0</v>
      </c>
      <c r="D35" s="98">
        <v>0</v>
      </c>
      <c r="E35" s="98">
        <v>0</v>
      </c>
      <c r="F35" s="98">
        <v>0</v>
      </c>
      <c r="G35" s="117">
        <f t="shared" si="0"/>
        <v>0</v>
      </c>
      <c r="H35" s="97">
        <v>0</v>
      </c>
      <c r="I35" s="126">
        <v>0</v>
      </c>
      <c r="J35" s="97">
        <v>0</v>
      </c>
      <c r="K35" s="98">
        <v>0</v>
      </c>
      <c r="L35" s="117">
        <f t="shared" si="1"/>
        <v>0</v>
      </c>
      <c r="M35" s="98">
        <v>0</v>
      </c>
      <c r="N35" s="98">
        <v>0</v>
      </c>
      <c r="O35" s="98">
        <v>0</v>
      </c>
      <c r="P35" s="98">
        <v>0</v>
      </c>
      <c r="Q35" s="117">
        <f t="shared" si="2"/>
        <v>0</v>
      </c>
      <c r="R35" s="90">
        <v>0</v>
      </c>
      <c r="S35" s="90">
        <v>0</v>
      </c>
      <c r="T35" s="90">
        <v>0</v>
      </c>
      <c r="U35" s="90">
        <v>0</v>
      </c>
      <c r="V35" s="117">
        <f t="shared" si="3"/>
        <v>0</v>
      </c>
      <c r="W35" s="90">
        <v>0</v>
      </c>
      <c r="X35" s="90">
        <v>0</v>
      </c>
      <c r="Y35" s="90">
        <v>0</v>
      </c>
      <c r="Z35" s="90">
        <v>0</v>
      </c>
      <c r="AA35" s="117">
        <f t="shared" si="6"/>
        <v>0</v>
      </c>
      <c r="AB35" s="90">
        <v>0</v>
      </c>
      <c r="AC35" s="90">
        <v>0</v>
      </c>
      <c r="AD35" s="90">
        <v>0</v>
      </c>
      <c r="AE35" s="90">
        <v>0</v>
      </c>
      <c r="AF35" s="117">
        <v>0</v>
      </c>
      <c r="AG35" s="90">
        <v>0</v>
      </c>
      <c r="AH35" s="90">
        <v>0</v>
      </c>
      <c r="AI35" s="90">
        <v>0</v>
      </c>
      <c r="AJ35" s="90">
        <v>0</v>
      </c>
      <c r="AK35" s="117">
        <f t="shared" si="4"/>
        <v>0</v>
      </c>
      <c r="AL35" s="189">
        <v>0</v>
      </c>
      <c r="AM35" s="189">
        <v>0</v>
      </c>
      <c r="AN35" s="189">
        <v>0</v>
      </c>
      <c r="AO35" s="189">
        <v>0</v>
      </c>
      <c r="AP35" s="208">
        <v>0</v>
      </c>
      <c r="AQ35" s="210">
        <v>0</v>
      </c>
      <c r="AR35" s="189">
        <v>0</v>
      </c>
      <c r="AS35" s="189">
        <v>0</v>
      </c>
      <c r="AT35" s="189">
        <v>0</v>
      </c>
      <c r="AU35" s="211">
        <v>0</v>
      </c>
      <c r="AV35" s="189">
        <v>0</v>
      </c>
      <c r="AW35" s="189">
        <v>0</v>
      </c>
      <c r="AX35" s="189">
        <v>0</v>
      </c>
      <c r="AY35" s="189">
        <v>0</v>
      </c>
      <c r="AZ35" s="208">
        <v>0</v>
      </c>
      <c r="BA35" s="189">
        <v>5</v>
      </c>
      <c r="BB35" s="189">
        <v>0</v>
      </c>
      <c r="BC35" s="189">
        <v>0</v>
      </c>
      <c r="BD35" s="189">
        <v>0</v>
      </c>
      <c r="BE35" s="208">
        <v>5</v>
      </c>
      <c r="BF35" s="189">
        <v>0</v>
      </c>
      <c r="BG35" s="189">
        <v>0</v>
      </c>
      <c r="BH35" s="189">
        <v>0</v>
      </c>
      <c r="BI35" s="189">
        <v>0</v>
      </c>
      <c r="BJ35" s="117">
        <v>0</v>
      </c>
      <c r="BK35" s="51">
        <f t="shared" si="5"/>
        <v>5</v>
      </c>
      <c r="BL35" s="300"/>
    </row>
    <row r="36" spans="1:64">
      <c r="A36" s="303" t="s">
        <v>185</v>
      </c>
      <c r="B36" s="91" t="s">
        <v>172</v>
      </c>
      <c r="C36" s="97">
        <v>2</v>
      </c>
      <c r="D36" s="98">
        <v>0</v>
      </c>
      <c r="E36" s="98">
        <v>0</v>
      </c>
      <c r="F36" s="98">
        <v>0</v>
      </c>
      <c r="G36" s="117">
        <f t="shared" si="0"/>
        <v>2</v>
      </c>
      <c r="H36" s="97">
        <v>0</v>
      </c>
      <c r="I36" s="126">
        <v>0</v>
      </c>
      <c r="J36" s="97">
        <v>0</v>
      </c>
      <c r="K36" s="98">
        <v>0</v>
      </c>
      <c r="L36" s="117">
        <f t="shared" si="1"/>
        <v>0</v>
      </c>
      <c r="M36" s="98">
        <v>0</v>
      </c>
      <c r="N36" s="98">
        <v>0</v>
      </c>
      <c r="O36" s="98">
        <v>0</v>
      </c>
      <c r="P36" s="98">
        <v>0</v>
      </c>
      <c r="Q36" s="117">
        <f t="shared" si="2"/>
        <v>0</v>
      </c>
      <c r="R36" s="90">
        <v>0</v>
      </c>
      <c r="S36" s="90">
        <v>0</v>
      </c>
      <c r="T36" s="90">
        <v>0</v>
      </c>
      <c r="U36" s="90">
        <v>0</v>
      </c>
      <c r="V36" s="117">
        <f t="shared" si="3"/>
        <v>0</v>
      </c>
      <c r="W36" s="90">
        <v>0</v>
      </c>
      <c r="X36" s="90">
        <v>0</v>
      </c>
      <c r="Y36" s="90">
        <v>0</v>
      </c>
      <c r="Z36" s="90">
        <v>0</v>
      </c>
      <c r="AA36" s="117">
        <f t="shared" si="6"/>
        <v>0</v>
      </c>
      <c r="AB36" s="90">
        <v>0</v>
      </c>
      <c r="AC36" s="90">
        <v>0</v>
      </c>
      <c r="AD36" s="90">
        <v>0</v>
      </c>
      <c r="AE36" s="90">
        <v>0</v>
      </c>
      <c r="AF36" s="117">
        <v>0</v>
      </c>
      <c r="AG36" s="90">
        <v>0</v>
      </c>
      <c r="AH36" s="90">
        <v>0</v>
      </c>
      <c r="AI36" s="90">
        <v>0</v>
      </c>
      <c r="AJ36" s="90">
        <v>0</v>
      </c>
      <c r="AK36" s="117">
        <f t="shared" si="4"/>
        <v>0</v>
      </c>
      <c r="AL36" s="189">
        <v>0</v>
      </c>
      <c r="AM36" s="189">
        <v>0</v>
      </c>
      <c r="AN36" s="189">
        <v>0</v>
      </c>
      <c r="AO36" s="189">
        <v>0</v>
      </c>
      <c r="AP36" s="208">
        <v>0</v>
      </c>
      <c r="AQ36" s="210">
        <v>0</v>
      </c>
      <c r="AR36" s="189">
        <v>0</v>
      </c>
      <c r="AS36" s="189">
        <v>0</v>
      </c>
      <c r="AT36" s="189">
        <v>0</v>
      </c>
      <c r="AU36" s="211">
        <v>0</v>
      </c>
      <c r="AV36" s="189">
        <v>0</v>
      </c>
      <c r="AW36" s="189">
        <v>0</v>
      </c>
      <c r="AX36" s="189">
        <v>0</v>
      </c>
      <c r="AY36" s="189">
        <v>0</v>
      </c>
      <c r="AZ36" s="208">
        <v>0</v>
      </c>
      <c r="BA36" s="189">
        <v>0</v>
      </c>
      <c r="BB36" s="189">
        <v>0</v>
      </c>
      <c r="BC36" s="189">
        <v>0</v>
      </c>
      <c r="BD36" s="189">
        <v>0</v>
      </c>
      <c r="BE36" s="208">
        <v>0</v>
      </c>
      <c r="BF36" s="189">
        <v>0</v>
      </c>
      <c r="BG36" s="189">
        <v>0</v>
      </c>
      <c r="BH36" s="189">
        <v>0</v>
      </c>
      <c r="BI36" s="189">
        <v>0</v>
      </c>
      <c r="BJ36" s="117">
        <v>0</v>
      </c>
      <c r="BK36" s="51">
        <f t="shared" si="5"/>
        <v>2</v>
      </c>
      <c r="BL36" s="300"/>
    </row>
    <row r="37" spans="1:64">
      <c r="A37" s="304"/>
      <c r="B37" s="91" t="s">
        <v>173</v>
      </c>
      <c r="C37" s="97">
        <v>2</v>
      </c>
      <c r="D37" s="98">
        <v>0</v>
      </c>
      <c r="E37" s="98">
        <v>0</v>
      </c>
      <c r="F37" s="98">
        <v>0</v>
      </c>
      <c r="G37" s="117">
        <f t="shared" si="0"/>
        <v>2</v>
      </c>
      <c r="H37" s="97">
        <v>0</v>
      </c>
      <c r="I37" s="126">
        <v>0</v>
      </c>
      <c r="J37" s="97">
        <v>0</v>
      </c>
      <c r="K37" s="98">
        <v>0</v>
      </c>
      <c r="L37" s="117">
        <f t="shared" si="1"/>
        <v>0</v>
      </c>
      <c r="M37" s="98">
        <v>0</v>
      </c>
      <c r="N37" s="98">
        <v>0</v>
      </c>
      <c r="O37" s="98">
        <v>0</v>
      </c>
      <c r="P37" s="98">
        <v>0</v>
      </c>
      <c r="Q37" s="117">
        <f t="shared" si="2"/>
        <v>0</v>
      </c>
      <c r="R37" s="90">
        <v>0</v>
      </c>
      <c r="S37" s="90">
        <v>0</v>
      </c>
      <c r="T37" s="90">
        <v>0</v>
      </c>
      <c r="U37" s="90">
        <v>0</v>
      </c>
      <c r="V37" s="117">
        <f t="shared" si="3"/>
        <v>0</v>
      </c>
      <c r="W37" s="90">
        <v>0</v>
      </c>
      <c r="X37" s="90">
        <v>0</v>
      </c>
      <c r="Y37" s="90">
        <v>0</v>
      </c>
      <c r="Z37" s="90">
        <v>0</v>
      </c>
      <c r="AA37" s="119">
        <f t="shared" si="6"/>
        <v>0</v>
      </c>
      <c r="AB37" s="90">
        <v>0</v>
      </c>
      <c r="AC37" s="90">
        <v>0</v>
      </c>
      <c r="AD37" s="90">
        <v>0</v>
      </c>
      <c r="AE37" s="90">
        <v>0</v>
      </c>
      <c r="AF37" s="117">
        <v>0</v>
      </c>
      <c r="AG37" s="90">
        <v>0</v>
      </c>
      <c r="AH37" s="90">
        <v>0</v>
      </c>
      <c r="AI37" s="90">
        <v>0</v>
      </c>
      <c r="AJ37" s="90">
        <v>0</v>
      </c>
      <c r="AK37" s="117">
        <f t="shared" si="4"/>
        <v>0</v>
      </c>
      <c r="AL37" s="189">
        <v>0</v>
      </c>
      <c r="AM37" s="189">
        <v>0</v>
      </c>
      <c r="AN37" s="189">
        <v>0</v>
      </c>
      <c r="AO37" s="189">
        <v>0</v>
      </c>
      <c r="AP37" s="208">
        <v>0</v>
      </c>
      <c r="AQ37" s="210">
        <v>0</v>
      </c>
      <c r="AR37" s="189">
        <v>0</v>
      </c>
      <c r="AS37" s="189">
        <v>0</v>
      </c>
      <c r="AT37" s="189">
        <v>0</v>
      </c>
      <c r="AU37" s="211">
        <v>0</v>
      </c>
      <c r="AV37" s="189">
        <v>0</v>
      </c>
      <c r="AW37" s="189">
        <v>0</v>
      </c>
      <c r="AX37" s="189">
        <v>0</v>
      </c>
      <c r="AY37" s="189">
        <v>0</v>
      </c>
      <c r="AZ37" s="208">
        <v>0</v>
      </c>
      <c r="BA37" s="189">
        <v>0</v>
      </c>
      <c r="BB37" s="189">
        <v>0</v>
      </c>
      <c r="BC37" s="189">
        <v>0</v>
      </c>
      <c r="BD37" s="189">
        <v>0</v>
      </c>
      <c r="BE37" s="208">
        <v>0</v>
      </c>
      <c r="BF37" s="189">
        <v>0</v>
      </c>
      <c r="BG37" s="189">
        <v>0</v>
      </c>
      <c r="BH37" s="189">
        <v>0</v>
      </c>
      <c r="BI37" s="189">
        <v>0</v>
      </c>
      <c r="BJ37" s="117">
        <v>0</v>
      </c>
      <c r="BK37" s="51">
        <f t="shared" si="5"/>
        <v>2</v>
      </c>
      <c r="BL37" s="301"/>
    </row>
    <row r="38" spans="1:64">
      <c r="A38" s="303" t="s">
        <v>186</v>
      </c>
      <c r="B38" s="91" t="s">
        <v>172</v>
      </c>
      <c r="C38" s="97">
        <v>0</v>
      </c>
      <c r="D38" s="98">
        <v>0</v>
      </c>
      <c r="E38" s="98">
        <v>0</v>
      </c>
      <c r="F38" s="98">
        <v>0</v>
      </c>
      <c r="G38" s="117">
        <f t="shared" si="0"/>
        <v>0</v>
      </c>
      <c r="H38" s="97">
        <v>0</v>
      </c>
      <c r="I38" s="126">
        <v>0</v>
      </c>
      <c r="J38" s="97">
        <v>0</v>
      </c>
      <c r="K38" s="97">
        <v>20</v>
      </c>
      <c r="L38" s="117">
        <f t="shared" si="1"/>
        <v>20</v>
      </c>
      <c r="M38" s="98">
        <v>0</v>
      </c>
      <c r="N38" s="98">
        <v>0</v>
      </c>
      <c r="O38" s="98">
        <v>0</v>
      </c>
      <c r="P38" s="98">
        <v>0</v>
      </c>
      <c r="Q38" s="117">
        <f t="shared" si="2"/>
        <v>0</v>
      </c>
      <c r="R38" s="90">
        <v>0</v>
      </c>
      <c r="S38" s="90">
        <v>0</v>
      </c>
      <c r="T38" s="90">
        <v>0</v>
      </c>
      <c r="U38" s="90">
        <v>0</v>
      </c>
      <c r="V38" s="117">
        <f t="shared" si="3"/>
        <v>0</v>
      </c>
      <c r="W38" s="90">
        <v>0</v>
      </c>
      <c r="X38" s="90">
        <v>0</v>
      </c>
      <c r="Y38" s="90">
        <v>0</v>
      </c>
      <c r="Z38" s="90">
        <v>0</v>
      </c>
      <c r="AA38" s="117">
        <f t="shared" si="6"/>
        <v>0</v>
      </c>
      <c r="AB38" s="90">
        <v>0</v>
      </c>
      <c r="AC38" s="90">
        <v>0</v>
      </c>
      <c r="AD38" s="90">
        <v>0</v>
      </c>
      <c r="AE38" s="90">
        <v>0</v>
      </c>
      <c r="AF38" s="117">
        <v>0</v>
      </c>
      <c r="AG38" s="90">
        <v>0</v>
      </c>
      <c r="AH38" s="90">
        <v>0</v>
      </c>
      <c r="AI38" s="90">
        <v>0</v>
      </c>
      <c r="AJ38" s="90">
        <v>0</v>
      </c>
      <c r="AK38" s="117">
        <f t="shared" si="4"/>
        <v>0</v>
      </c>
      <c r="AL38" s="189">
        <v>0</v>
      </c>
      <c r="AM38" s="189">
        <v>0</v>
      </c>
      <c r="AN38" s="189">
        <v>0</v>
      </c>
      <c r="AO38" s="189">
        <v>0</v>
      </c>
      <c r="AP38" s="208">
        <v>0</v>
      </c>
      <c r="AQ38" s="210">
        <v>0</v>
      </c>
      <c r="AR38" s="189">
        <v>0</v>
      </c>
      <c r="AS38" s="189">
        <v>0</v>
      </c>
      <c r="AT38" s="189">
        <v>0</v>
      </c>
      <c r="AU38" s="211">
        <v>0</v>
      </c>
      <c r="AV38" s="189">
        <v>0</v>
      </c>
      <c r="AW38" s="189">
        <v>0</v>
      </c>
      <c r="AX38" s="189">
        <v>0</v>
      </c>
      <c r="AY38" s="189">
        <v>0</v>
      </c>
      <c r="AZ38" s="208">
        <v>0</v>
      </c>
      <c r="BA38" s="189">
        <v>0</v>
      </c>
      <c r="BB38" s="189">
        <v>0</v>
      </c>
      <c r="BC38" s="189">
        <v>0</v>
      </c>
      <c r="BD38" s="189">
        <v>0</v>
      </c>
      <c r="BE38" s="208">
        <v>0</v>
      </c>
      <c r="BF38" s="189">
        <v>0</v>
      </c>
      <c r="BG38" s="189">
        <v>0</v>
      </c>
      <c r="BH38" s="189">
        <v>0</v>
      </c>
      <c r="BI38" s="189">
        <v>0</v>
      </c>
      <c r="BJ38" s="117">
        <v>0</v>
      </c>
      <c r="BK38" s="51">
        <f t="shared" si="5"/>
        <v>20</v>
      </c>
      <c r="BL38" s="297">
        <f>SUM(BK38:BK39)</f>
        <v>60</v>
      </c>
    </row>
    <row r="39" spans="1:64">
      <c r="A39" s="304"/>
      <c r="B39" s="91" t="s">
        <v>173</v>
      </c>
      <c r="C39" s="97">
        <v>0</v>
      </c>
      <c r="D39" s="98">
        <v>0</v>
      </c>
      <c r="E39" s="98">
        <v>0</v>
      </c>
      <c r="F39" s="98">
        <v>0</v>
      </c>
      <c r="G39" s="117">
        <f t="shared" si="0"/>
        <v>0</v>
      </c>
      <c r="H39" s="97">
        <v>0</v>
      </c>
      <c r="I39" s="126">
        <v>0</v>
      </c>
      <c r="J39" s="97">
        <v>0</v>
      </c>
      <c r="K39" s="97">
        <v>40</v>
      </c>
      <c r="L39" s="117">
        <f t="shared" si="1"/>
        <v>40</v>
      </c>
      <c r="M39" s="98">
        <v>0</v>
      </c>
      <c r="N39" s="98">
        <v>0</v>
      </c>
      <c r="O39" s="98">
        <v>0</v>
      </c>
      <c r="P39" s="98">
        <v>0</v>
      </c>
      <c r="Q39" s="117">
        <f t="shared" si="2"/>
        <v>0</v>
      </c>
      <c r="R39" s="90">
        <v>0</v>
      </c>
      <c r="S39" s="90">
        <v>0</v>
      </c>
      <c r="T39" s="90">
        <v>0</v>
      </c>
      <c r="U39" s="90">
        <v>0</v>
      </c>
      <c r="V39" s="117">
        <f t="shared" si="3"/>
        <v>0</v>
      </c>
      <c r="W39" s="90">
        <v>0</v>
      </c>
      <c r="X39" s="90">
        <v>0</v>
      </c>
      <c r="Y39" s="90">
        <v>0</v>
      </c>
      <c r="Z39" s="90">
        <v>0</v>
      </c>
      <c r="AA39" s="117">
        <f t="shared" si="6"/>
        <v>0</v>
      </c>
      <c r="AB39" s="90">
        <v>0</v>
      </c>
      <c r="AC39" s="90">
        <v>0</v>
      </c>
      <c r="AD39" s="90">
        <v>0</v>
      </c>
      <c r="AE39" s="90">
        <v>0</v>
      </c>
      <c r="AF39" s="117">
        <v>0</v>
      </c>
      <c r="AG39" s="90">
        <v>0</v>
      </c>
      <c r="AH39" s="90">
        <v>0</v>
      </c>
      <c r="AI39" s="90">
        <v>0</v>
      </c>
      <c r="AJ39" s="90">
        <v>0</v>
      </c>
      <c r="AK39" s="117">
        <f t="shared" si="4"/>
        <v>0</v>
      </c>
      <c r="AL39" s="189">
        <v>0</v>
      </c>
      <c r="AM39" s="189">
        <v>0</v>
      </c>
      <c r="AN39" s="189">
        <v>0</v>
      </c>
      <c r="AO39" s="189">
        <v>0</v>
      </c>
      <c r="AP39" s="208">
        <v>0</v>
      </c>
      <c r="AQ39" s="210">
        <v>0</v>
      </c>
      <c r="AR39" s="189">
        <v>0</v>
      </c>
      <c r="AS39" s="189">
        <v>0</v>
      </c>
      <c r="AT39" s="189">
        <v>0</v>
      </c>
      <c r="AU39" s="211">
        <v>0</v>
      </c>
      <c r="AV39" s="189">
        <v>0</v>
      </c>
      <c r="AW39" s="189">
        <v>0</v>
      </c>
      <c r="AX39" s="189">
        <v>0</v>
      </c>
      <c r="AY39" s="189">
        <v>0</v>
      </c>
      <c r="AZ39" s="208">
        <v>0</v>
      </c>
      <c r="BA39" s="189">
        <v>0</v>
      </c>
      <c r="BB39" s="189">
        <v>0</v>
      </c>
      <c r="BC39" s="189">
        <v>0</v>
      </c>
      <c r="BD39" s="189">
        <v>0</v>
      </c>
      <c r="BE39" s="208">
        <v>0</v>
      </c>
      <c r="BF39" s="189">
        <v>0</v>
      </c>
      <c r="BG39" s="189">
        <v>0</v>
      </c>
      <c r="BH39" s="189">
        <v>0</v>
      </c>
      <c r="BI39" s="189">
        <v>0</v>
      </c>
      <c r="BJ39" s="117">
        <v>0</v>
      </c>
      <c r="BK39" s="51">
        <f t="shared" si="5"/>
        <v>40</v>
      </c>
      <c r="BL39" s="297"/>
    </row>
    <row r="40" spans="1:64">
      <c r="A40" s="296" t="s">
        <v>187</v>
      </c>
      <c r="B40" s="91" t="s">
        <v>172</v>
      </c>
      <c r="C40" s="97">
        <v>0</v>
      </c>
      <c r="D40" s="98">
        <v>0</v>
      </c>
      <c r="E40" s="98">
        <v>0</v>
      </c>
      <c r="F40" s="98">
        <v>0</v>
      </c>
      <c r="G40" s="117">
        <f t="shared" si="0"/>
        <v>0</v>
      </c>
      <c r="H40" s="97">
        <v>0</v>
      </c>
      <c r="I40" s="97">
        <v>2</v>
      </c>
      <c r="J40" s="97">
        <v>0</v>
      </c>
      <c r="K40" s="97"/>
      <c r="L40" s="117">
        <f t="shared" si="1"/>
        <v>2</v>
      </c>
      <c r="M40" s="98">
        <v>0</v>
      </c>
      <c r="N40" s="98">
        <v>0</v>
      </c>
      <c r="O40" s="98">
        <v>0</v>
      </c>
      <c r="P40" s="98">
        <v>0</v>
      </c>
      <c r="Q40" s="117">
        <f t="shared" si="2"/>
        <v>0</v>
      </c>
      <c r="R40" s="90">
        <v>0</v>
      </c>
      <c r="S40" s="90">
        <v>0</v>
      </c>
      <c r="T40" s="90">
        <v>0</v>
      </c>
      <c r="U40" s="90">
        <v>0</v>
      </c>
      <c r="V40" s="117">
        <f t="shared" si="3"/>
        <v>0</v>
      </c>
      <c r="W40" s="90">
        <v>0</v>
      </c>
      <c r="X40" s="90">
        <v>0</v>
      </c>
      <c r="Y40" s="90">
        <v>0</v>
      </c>
      <c r="Z40" s="90">
        <v>0</v>
      </c>
      <c r="AA40" s="117">
        <f t="shared" si="6"/>
        <v>0</v>
      </c>
      <c r="AB40" s="90">
        <v>0</v>
      </c>
      <c r="AC40" s="90">
        <v>0</v>
      </c>
      <c r="AD40" s="90">
        <v>0</v>
      </c>
      <c r="AE40" s="90">
        <v>0</v>
      </c>
      <c r="AF40" s="117">
        <v>0</v>
      </c>
      <c r="AG40" s="90">
        <v>0</v>
      </c>
      <c r="AH40" s="90">
        <v>0</v>
      </c>
      <c r="AI40" s="90">
        <v>0</v>
      </c>
      <c r="AJ40" s="90">
        <v>0</v>
      </c>
      <c r="AK40" s="117">
        <f t="shared" si="4"/>
        <v>0</v>
      </c>
      <c r="AL40" s="189">
        <v>0</v>
      </c>
      <c r="AM40" s="189">
        <v>0</v>
      </c>
      <c r="AN40" s="189">
        <v>0</v>
      </c>
      <c r="AO40" s="189">
        <v>0</v>
      </c>
      <c r="AP40" s="208">
        <v>0</v>
      </c>
      <c r="AQ40" s="210">
        <v>0</v>
      </c>
      <c r="AR40" s="189">
        <v>0</v>
      </c>
      <c r="AS40" s="189">
        <v>0</v>
      </c>
      <c r="AT40" s="189">
        <v>0</v>
      </c>
      <c r="AU40" s="211">
        <v>0</v>
      </c>
      <c r="AV40" s="189">
        <v>0</v>
      </c>
      <c r="AW40" s="189">
        <v>0</v>
      </c>
      <c r="AX40" s="189">
        <v>0</v>
      </c>
      <c r="AY40" s="189">
        <v>0</v>
      </c>
      <c r="AZ40" s="208">
        <v>0</v>
      </c>
      <c r="BA40" s="189">
        <v>0</v>
      </c>
      <c r="BB40" s="189">
        <v>0</v>
      </c>
      <c r="BC40" s="189">
        <v>0</v>
      </c>
      <c r="BD40" s="189">
        <v>0</v>
      </c>
      <c r="BE40" s="208">
        <v>0</v>
      </c>
      <c r="BF40" s="189">
        <v>0</v>
      </c>
      <c r="BG40" s="189">
        <v>0</v>
      </c>
      <c r="BH40" s="189">
        <v>0</v>
      </c>
      <c r="BI40" s="189">
        <v>0</v>
      </c>
      <c r="BJ40" s="117">
        <v>0</v>
      </c>
      <c r="BK40" s="51">
        <f t="shared" si="5"/>
        <v>2</v>
      </c>
      <c r="BL40" s="297">
        <f>SUM(BK40:BK41)</f>
        <v>2</v>
      </c>
    </row>
    <row r="41" spans="1:64">
      <c r="A41" s="296"/>
      <c r="B41" s="91" t="s">
        <v>173</v>
      </c>
      <c r="C41" s="97">
        <v>0</v>
      </c>
      <c r="D41" s="98">
        <v>0</v>
      </c>
      <c r="E41" s="98">
        <v>0</v>
      </c>
      <c r="F41" s="98">
        <v>0</v>
      </c>
      <c r="G41" s="117">
        <f t="shared" si="0"/>
        <v>0</v>
      </c>
      <c r="H41" s="97">
        <v>0</v>
      </c>
      <c r="I41" s="97">
        <v>0</v>
      </c>
      <c r="J41" s="97">
        <v>0</v>
      </c>
      <c r="K41" s="97"/>
      <c r="L41" s="117">
        <f t="shared" si="1"/>
        <v>0</v>
      </c>
      <c r="M41" s="98">
        <v>0</v>
      </c>
      <c r="N41" s="98">
        <v>0</v>
      </c>
      <c r="O41" s="98">
        <v>0</v>
      </c>
      <c r="P41" s="98">
        <v>0</v>
      </c>
      <c r="Q41" s="117">
        <f t="shared" si="2"/>
        <v>0</v>
      </c>
      <c r="R41" s="90">
        <v>0</v>
      </c>
      <c r="S41" s="90">
        <v>0</v>
      </c>
      <c r="T41" s="90">
        <v>0</v>
      </c>
      <c r="U41" s="90">
        <v>0</v>
      </c>
      <c r="V41" s="117">
        <f t="shared" si="3"/>
        <v>0</v>
      </c>
      <c r="W41" s="90">
        <v>0</v>
      </c>
      <c r="X41" s="90">
        <v>0</v>
      </c>
      <c r="Y41" s="90">
        <v>0</v>
      </c>
      <c r="Z41" s="90">
        <v>0</v>
      </c>
      <c r="AA41" s="119">
        <f t="shared" si="6"/>
        <v>0</v>
      </c>
      <c r="AB41" s="90">
        <v>0</v>
      </c>
      <c r="AC41" s="90">
        <v>0</v>
      </c>
      <c r="AD41" s="90">
        <v>0</v>
      </c>
      <c r="AE41" s="90">
        <v>0</v>
      </c>
      <c r="AF41" s="117">
        <v>0</v>
      </c>
      <c r="AG41" s="90">
        <v>0</v>
      </c>
      <c r="AH41" s="90">
        <v>0</v>
      </c>
      <c r="AI41" s="90">
        <v>0</v>
      </c>
      <c r="AJ41" s="90">
        <v>0</v>
      </c>
      <c r="AK41" s="117">
        <f t="shared" si="4"/>
        <v>0</v>
      </c>
      <c r="AL41" s="189">
        <v>0</v>
      </c>
      <c r="AM41" s="189">
        <v>0</v>
      </c>
      <c r="AN41" s="189">
        <v>0</v>
      </c>
      <c r="AO41" s="189">
        <v>0</v>
      </c>
      <c r="AP41" s="208">
        <v>0</v>
      </c>
      <c r="AQ41" s="210">
        <v>0</v>
      </c>
      <c r="AR41" s="189">
        <v>0</v>
      </c>
      <c r="AS41" s="189">
        <v>0</v>
      </c>
      <c r="AT41" s="189">
        <v>0</v>
      </c>
      <c r="AU41" s="211">
        <v>0</v>
      </c>
      <c r="AV41" s="189">
        <v>0</v>
      </c>
      <c r="AW41" s="189">
        <v>0</v>
      </c>
      <c r="AX41" s="189">
        <v>0</v>
      </c>
      <c r="AY41" s="189">
        <v>0</v>
      </c>
      <c r="AZ41" s="208">
        <v>0</v>
      </c>
      <c r="BA41" s="189">
        <v>0</v>
      </c>
      <c r="BB41" s="189">
        <v>0</v>
      </c>
      <c r="BC41" s="189">
        <v>0</v>
      </c>
      <c r="BD41" s="189">
        <v>0</v>
      </c>
      <c r="BE41" s="208">
        <v>0</v>
      </c>
      <c r="BF41" s="189">
        <v>0</v>
      </c>
      <c r="BG41" s="189">
        <v>0</v>
      </c>
      <c r="BH41" s="189">
        <v>0</v>
      </c>
      <c r="BI41" s="189">
        <v>0</v>
      </c>
      <c r="BJ41" s="117">
        <v>0</v>
      </c>
      <c r="BK41" s="51">
        <f t="shared" si="5"/>
        <v>0</v>
      </c>
      <c r="BL41" s="297"/>
    </row>
    <row r="42" spans="1:64">
      <c r="A42" s="294" t="s">
        <v>188</v>
      </c>
      <c r="B42" s="89" t="s">
        <v>172</v>
      </c>
      <c r="C42" s="97">
        <v>0</v>
      </c>
      <c r="D42" s="98">
        <v>0</v>
      </c>
      <c r="E42" s="98">
        <v>0</v>
      </c>
      <c r="F42" s="98">
        <v>0</v>
      </c>
      <c r="G42" s="117">
        <f t="shared" si="0"/>
        <v>0</v>
      </c>
      <c r="H42" s="97">
        <v>0</v>
      </c>
      <c r="I42" s="98">
        <v>0</v>
      </c>
      <c r="J42" s="97">
        <v>0</v>
      </c>
      <c r="K42" s="98">
        <v>3</v>
      </c>
      <c r="L42" s="117">
        <f t="shared" si="1"/>
        <v>3</v>
      </c>
      <c r="M42" s="98">
        <v>0</v>
      </c>
      <c r="N42" s="98">
        <v>0</v>
      </c>
      <c r="O42" s="98">
        <v>0</v>
      </c>
      <c r="P42" s="98">
        <v>0</v>
      </c>
      <c r="Q42" s="117">
        <f t="shared" si="2"/>
        <v>0</v>
      </c>
      <c r="R42" s="90">
        <v>0</v>
      </c>
      <c r="S42" s="90">
        <v>0</v>
      </c>
      <c r="T42" s="90">
        <v>0</v>
      </c>
      <c r="U42" s="90">
        <v>0</v>
      </c>
      <c r="V42" s="117">
        <f t="shared" si="3"/>
        <v>0</v>
      </c>
      <c r="W42" s="90">
        <v>0</v>
      </c>
      <c r="X42" s="90">
        <v>0</v>
      </c>
      <c r="Y42" s="90">
        <v>0</v>
      </c>
      <c r="Z42" s="90">
        <v>0</v>
      </c>
      <c r="AA42" s="117">
        <f t="shared" si="6"/>
        <v>0</v>
      </c>
      <c r="AB42" s="90">
        <v>0</v>
      </c>
      <c r="AC42" s="90">
        <v>0</v>
      </c>
      <c r="AD42" s="90">
        <v>0</v>
      </c>
      <c r="AE42" s="90">
        <v>0</v>
      </c>
      <c r="AF42" s="117">
        <v>0</v>
      </c>
      <c r="AG42" s="90">
        <v>0</v>
      </c>
      <c r="AH42" s="90">
        <v>0</v>
      </c>
      <c r="AI42" s="90">
        <v>0</v>
      </c>
      <c r="AJ42" s="90">
        <v>0</v>
      </c>
      <c r="AK42" s="117">
        <f t="shared" si="4"/>
        <v>0</v>
      </c>
      <c r="AL42" s="189">
        <v>0</v>
      </c>
      <c r="AM42" s="189">
        <v>0</v>
      </c>
      <c r="AN42" s="189">
        <v>0</v>
      </c>
      <c r="AO42" s="189">
        <v>0</v>
      </c>
      <c r="AP42" s="208">
        <v>0</v>
      </c>
      <c r="AQ42" s="210">
        <v>0</v>
      </c>
      <c r="AR42" s="189">
        <v>13</v>
      </c>
      <c r="AS42" s="189">
        <v>0</v>
      </c>
      <c r="AT42" s="189">
        <v>0</v>
      </c>
      <c r="AU42" s="211">
        <v>13</v>
      </c>
      <c r="AV42" s="189">
        <v>0</v>
      </c>
      <c r="AW42" s="189">
        <v>0</v>
      </c>
      <c r="AX42" s="189">
        <v>0</v>
      </c>
      <c r="AY42" s="189">
        <v>2</v>
      </c>
      <c r="AZ42" s="208">
        <v>2</v>
      </c>
      <c r="BA42" s="189">
        <v>0</v>
      </c>
      <c r="BB42" s="189">
        <v>4</v>
      </c>
      <c r="BC42" s="189">
        <v>0</v>
      </c>
      <c r="BD42" s="189">
        <v>0</v>
      </c>
      <c r="BE42" s="208">
        <v>4</v>
      </c>
      <c r="BF42" s="189">
        <v>0</v>
      </c>
      <c r="BG42" s="189">
        <v>0</v>
      </c>
      <c r="BH42" s="189">
        <v>0</v>
      </c>
      <c r="BI42" s="189">
        <v>0</v>
      </c>
      <c r="BJ42" s="117">
        <v>0</v>
      </c>
      <c r="BK42" s="90">
        <f t="shared" si="5"/>
        <v>22</v>
      </c>
      <c r="BL42" s="295">
        <f>SUM(BK42:BK43)</f>
        <v>24</v>
      </c>
    </row>
    <row r="43" spans="1:64">
      <c r="A43" s="294"/>
      <c r="B43" s="89" t="s">
        <v>173</v>
      </c>
      <c r="C43" s="97">
        <v>0</v>
      </c>
      <c r="D43" s="98">
        <v>0</v>
      </c>
      <c r="E43" s="98">
        <v>0</v>
      </c>
      <c r="F43" s="98">
        <v>0</v>
      </c>
      <c r="G43" s="117">
        <f t="shared" si="0"/>
        <v>0</v>
      </c>
      <c r="H43" s="97">
        <v>0</v>
      </c>
      <c r="I43" s="98">
        <v>0</v>
      </c>
      <c r="J43" s="97">
        <v>0</v>
      </c>
      <c r="K43" s="98">
        <v>0</v>
      </c>
      <c r="L43" s="117">
        <f t="shared" si="1"/>
        <v>0</v>
      </c>
      <c r="M43" s="98">
        <v>0</v>
      </c>
      <c r="N43" s="98">
        <v>0</v>
      </c>
      <c r="O43" s="98">
        <v>0</v>
      </c>
      <c r="P43" s="98">
        <v>0</v>
      </c>
      <c r="Q43" s="117">
        <f t="shared" si="2"/>
        <v>0</v>
      </c>
      <c r="R43" s="90">
        <v>0</v>
      </c>
      <c r="S43" s="90">
        <v>0</v>
      </c>
      <c r="T43" s="90">
        <v>0</v>
      </c>
      <c r="U43" s="90">
        <v>0</v>
      </c>
      <c r="V43" s="117">
        <f t="shared" si="3"/>
        <v>0</v>
      </c>
      <c r="W43" s="90">
        <v>0</v>
      </c>
      <c r="X43" s="90">
        <v>0</v>
      </c>
      <c r="Y43" s="90">
        <v>0</v>
      </c>
      <c r="Z43" s="90">
        <v>0</v>
      </c>
      <c r="AA43" s="117">
        <f t="shared" si="6"/>
        <v>0</v>
      </c>
      <c r="AB43" s="90">
        <v>0</v>
      </c>
      <c r="AC43" s="90">
        <v>0</v>
      </c>
      <c r="AD43" s="90">
        <v>0</v>
      </c>
      <c r="AE43" s="90">
        <v>0</v>
      </c>
      <c r="AF43" s="117">
        <v>0</v>
      </c>
      <c r="AG43" s="90">
        <v>0</v>
      </c>
      <c r="AH43" s="90">
        <v>0</v>
      </c>
      <c r="AI43" s="90">
        <v>0</v>
      </c>
      <c r="AJ43" s="90">
        <v>0</v>
      </c>
      <c r="AK43" s="117">
        <f t="shared" si="4"/>
        <v>0</v>
      </c>
      <c r="AL43" s="189">
        <v>0</v>
      </c>
      <c r="AM43" s="189">
        <v>0</v>
      </c>
      <c r="AN43" s="189">
        <v>0</v>
      </c>
      <c r="AO43" s="189">
        <v>0</v>
      </c>
      <c r="AP43" s="208">
        <v>0</v>
      </c>
      <c r="AQ43" s="210">
        <v>0</v>
      </c>
      <c r="AR43" s="189">
        <v>0</v>
      </c>
      <c r="AS43" s="189">
        <v>0</v>
      </c>
      <c r="AT43" s="189">
        <v>0</v>
      </c>
      <c r="AU43" s="211">
        <v>0</v>
      </c>
      <c r="AV43" s="189">
        <v>0</v>
      </c>
      <c r="AW43" s="189">
        <v>0</v>
      </c>
      <c r="AX43" s="189">
        <v>0</v>
      </c>
      <c r="AY43" s="189">
        <v>2</v>
      </c>
      <c r="AZ43" s="208">
        <v>2</v>
      </c>
      <c r="BA43" s="189">
        <v>0</v>
      </c>
      <c r="BB43" s="189">
        <v>0</v>
      </c>
      <c r="BC43" s="189">
        <v>0</v>
      </c>
      <c r="BD43" s="189">
        <v>0</v>
      </c>
      <c r="BE43" s="208">
        <v>0</v>
      </c>
      <c r="BF43" s="189">
        <v>0</v>
      </c>
      <c r="BG43" s="189">
        <v>0</v>
      </c>
      <c r="BH43" s="189">
        <v>0</v>
      </c>
      <c r="BI43" s="189">
        <v>0</v>
      </c>
      <c r="BJ43" s="117">
        <v>0</v>
      </c>
      <c r="BK43" s="90">
        <f t="shared" si="5"/>
        <v>2</v>
      </c>
      <c r="BL43" s="295"/>
    </row>
    <row r="44" spans="1:64">
      <c r="A44" s="294" t="s">
        <v>189</v>
      </c>
      <c r="B44" s="89" t="s">
        <v>172</v>
      </c>
      <c r="C44" s="97">
        <v>0</v>
      </c>
      <c r="D44" s="98">
        <f>5+2+2+2+2+2+2</f>
        <v>17</v>
      </c>
      <c r="E44" s="98">
        <v>0</v>
      </c>
      <c r="F44" s="98">
        <v>11</v>
      </c>
      <c r="G44" s="117">
        <f t="shared" si="0"/>
        <v>28</v>
      </c>
      <c r="H44" s="98">
        <v>2</v>
      </c>
      <c r="I44" s="98">
        <v>2</v>
      </c>
      <c r="J44" s="97">
        <v>0</v>
      </c>
      <c r="K44" s="98">
        <v>0</v>
      </c>
      <c r="L44" s="117">
        <f t="shared" si="1"/>
        <v>4</v>
      </c>
      <c r="M44" s="98">
        <v>0</v>
      </c>
      <c r="N44" s="98">
        <f>5+2</f>
        <v>7</v>
      </c>
      <c r="O44" s="98">
        <v>0</v>
      </c>
      <c r="P44" s="98">
        <v>0</v>
      </c>
      <c r="Q44" s="117">
        <f t="shared" si="2"/>
        <v>7</v>
      </c>
      <c r="R44" s="90">
        <v>0</v>
      </c>
      <c r="S44" s="90">
        <v>0</v>
      </c>
      <c r="T44" s="90">
        <v>0</v>
      </c>
      <c r="U44" s="90">
        <v>0</v>
      </c>
      <c r="V44" s="117">
        <f t="shared" si="3"/>
        <v>0</v>
      </c>
      <c r="W44" s="90">
        <v>0</v>
      </c>
      <c r="X44" s="90">
        <v>0</v>
      </c>
      <c r="Y44" s="90">
        <v>0</v>
      </c>
      <c r="Z44" s="90">
        <v>0</v>
      </c>
      <c r="AA44" s="119">
        <f t="shared" si="6"/>
        <v>0</v>
      </c>
      <c r="AB44" s="90">
        <v>0</v>
      </c>
      <c r="AC44" s="90">
        <v>0</v>
      </c>
      <c r="AD44" s="90">
        <v>0</v>
      </c>
      <c r="AE44" s="90">
        <v>0</v>
      </c>
      <c r="AF44" s="117">
        <v>0</v>
      </c>
      <c r="AG44" s="90">
        <v>0</v>
      </c>
      <c r="AH44" s="90">
        <v>0</v>
      </c>
      <c r="AI44" s="90">
        <v>0</v>
      </c>
      <c r="AJ44" s="90">
        <v>0</v>
      </c>
      <c r="AK44" s="117">
        <f t="shared" si="4"/>
        <v>0</v>
      </c>
      <c r="AL44" s="189">
        <v>0</v>
      </c>
      <c r="AM44" s="189">
        <v>0</v>
      </c>
      <c r="AN44" s="189">
        <v>0</v>
      </c>
      <c r="AO44" s="189">
        <v>0</v>
      </c>
      <c r="AP44" s="208">
        <v>0</v>
      </c>
      <c r="AQ44" s="210">
        <v>0</v>
      </c>
      <c r="AR44" s="189">
        <v>0</v>
      </c>
      <c r="AS44" s="189">
        <v>0</v>
      </c>
      <c r="AT44" s="189">
        <v>12</v>
      </c>
      <c r="AU44" s="211">
        <v>12</v>
      </c>
      <c r="AV44" s="189">
        <v>0</v>
      </c>
      <c r="AW44" s="189">
        <v>0</v>
      </c>
      <c r="AX44" s="189">
        <v>0</v>
      </c>
      <c r="AY44" s="189">
        <v>0</v>
      </c>
      <c r="AZ44" s="208">
        <v>0</v>
      </c>
      <c r="BA44" s="189">
        <v>0</v>
      </c>
      <c r="BB44" s="189">
        <v>2</v>
      </c>
      <c r="BC44" s="189">
        <v>0</v>
      </c>
      <c r="BD44" s="189">
        <v>0</v>
      </c>
      <c r="BE44" s="208">
        <v>2</v>
      </c>
      <c r="BF44" s="189">
        <v>0</v>
      </c>
      <c r="BG44" s="189">
        <v>0</v>
      </c>
      <c r="BH44" s="189">
        <v>0</v>
      </c>
      <c r="BI44" s="189">
        <v>0</v>
      </c>
      <c r="BJ44" s="117">
        <v>0</v>
      </c>
      <c r="BK44" s="90">
        <f t="shared" si="5"/>
        <v>53</v>
      </c>
      <c r="BL44" s="295">
        <f>SUM(BK44:BK45)</f>
        <v>95</v>
      </c>
    </row>
    <row r="45" spans="1:64">
      <c r="A45" s="294"/>
      <c r="B45" s="89" t="s">
        <v>173</v>
      </c>
      <c r="C45" s="97">
        <v>0</v>
      </c>
      <c r="D45" s="98">
        <f>5+2+2+2+2+2+2</f>
        <v>17</v>
      </c>
      <c r="E45" s="98">
        <v>0</v>
      </c>
      <c r="F45" s="98">
        <v>6</v>
      </c>
      <c r="G45" s="117">
        <f t="shared" si="0"/>
        <v>23</v>
      </c>
      <c r="H45" s="98">
        <v>2</v>
      </c>
      <c r="I45" s="98">
        <v>2</v>
      </c>
      <c r="J45" s="97">
        <v>0</v>
      </c>
      <c r="K45" s="98">
        <v>0</v>
      </c>
      <c r="L45" s="117">
        <f t="shared" si="1"/>
        <v>4</v>
      </c>
      <c r="M45" s="98">
        <v>0</v>
      </c>
      <c r="N45" s="98">
        <f>5+2</f>
        <v>7</v>
      </c>
      <c r="O45" s="98">
        <v>0</v>
      </c>
      <c r="P45" s="98">
        <v>0</v>
      </c>
      <c r="Q45" s="117">
        <f t="shared" si="2"/>
        <v>7</v>
      </c>
      <c r="R45" s="90">
        <v>0</v>
      </c>
      <c r="S45" s="90">
        <v>0</v>
      </c>
      <c r="T45" s="90">
        <v>0</v>
      </c>
      <c r="U45" s="90">
        <v>0</v>
      </c>
      <c r="V45" s="117">
        <f t="shared" si="3"/>
        <v>0</v>
      </c>
      <c r="W45" s="90">
        <v>0</v>
      </c>
      <c r="X45" s="90">
        <v>0</v>
      </c>
      <c r="Y45" s="90">
        <v>0</v>
      </c>
      <c r="Z45" s="90">
        <v>0</v>
      </c>
      <c r="AA45" s="117">
        <f t="shared" si="6"/>
        <v>0</v>
      </c>
      <c r="AB45" s="90">
        <v>0</v>
      </c>
      <c r="AC45" s="90">
        <v>0</v>
      </c>
      <c r="AD45" s="90">
        <v>0</v>
      </c>
      <c r="AE45" s="90">
        <v>0</v>
      </c>
      <c r="AF45" s="117">
        <v>0</v>
      </c>
      <c r="AG45" s="90">
        <v>0</v>
      </c>
      <c r="AH45" s="90">
        <v>0</v>
      </c>
      <c r="AI45" s="90">
        <v>0</v>
      </c>
      <c r="AJ45" s="90">
        <v>0</v>
      </c>
      <c r="AK45" s="117">
        <f t="shared" si="4"/>
        <v>0</v>
      </c>
      <c r="AL45" s="189">
        <v>0</v>
      </c>
      <c r="AM45" s="189">
        <v>0</v>
      </c>
      <c r="AN45" s="189">
        <v>0</v>
      </c>
      <c r="AO45" s="189">
        <v>0</v>
      </c>
      <c r="AP45" s="208">
        <v>0</v>
      </c>
      <c r="AQ45" s="210">
        <v>0</v>
      </c>
      <c r="AR45" s="189">
        <v>0</v>
      </c>
      <c r="AS45" s="189">
        <v>0</v>
      </c>
      <c r="AT45" s="189">
        <v>8</v>
      </c>
      <c r="AU45" s="211">
        <v>8</v>
      </c>
      <c r="AV45" s="189">
        <v>0</v>
      </c>
      <c r="AW45" s="189">
        <v>0</v>
      </c>
      <c r="AX45" s="189">
        <v>0</v>
      </c>
      <c r="AY45" s="189">
        <v>0</v>
      </c>
      <c r="AZ45" s="208">
        <v>0</v>
      </c>
      <c r="BA45" s="189">
        <v>0</v>
      </c>
      <c r="BB45" s="189">
        <v>0</v>
      </c>
      <c r="BC45" s="189">
        <v>0</v>
      </c>
      <c r="BD45" s="189">
        <v>0</v>
      </c>
      <c r="BE45" s="208">
        <v>0</v>
      </c>
      <c r="BF45" s="189">
        <v>0</v>
      </c>
      <c r="BG45" s="189">
        <v>0</v>
      </c>
      <c r="BH45" s="189">
        <v>0</v>
      </c>
      <c r="BI45" s="189">
        <v>0</v>
      </c>
      <c r="BJ45" s="117">
        <v>0</v>
      </c>
      <c r="BK45" s="90">
        <f t="shared" si="5"/>
        <v>42</v>
      </c>
      <c r="BL45" s="295"/>
    </row>
    <row r="46" spans="1:64">
      <c r="A46" s="296" t="s">
        <v>190</v>
      </c>
      <c r="B46" s="91" t="s">
        <v>172</v>
      </c>
      <c r="C46" s="97">
        <v>0</v>
      </c>
      <c r="D46" s="97">
        <v>0</v>
      </c>
      <c r="E46" s="97">
        <v>0</v>
      </c>
      <c r="F46" s="97">
        <v>0</v>
      </c>
      <c r="G46" s="117">
        <f t="shared" si="0"/>
        <v>0</v>
      </c>
      <c r="H46" s="97">
        <v>0</v>
      </c>
      <c r="I46" s="97">
        <v>0</v>
      </c>
      <c r="J46" s="97">
        <v>0</v>
      </c>
      <c r="K46" s="98">
        <v>0</v>
      </c>
      <c r="L46" s="117">
        <f t="shared" si="1"/>
        <v>0</v>
      </c>
      <c r="M46" s="98">
        <v>0</v>
      </c>
      <c r="N46" s="98">
        <v>0</v>
      </c>
      <c r="O46" s="98">
        <v>0</v>
      </c>
      <c r="P46" s="98">
        <v>0</v>
      </c>
      <c r="Q46" s="117">
        <f t="shared" si="2"/>
        <v>0</v>
      </c>
      <c r="R46" s="90">
        <v>0</v>
      </c>
      <c r="S46" s="90">
        <v>0</v>
      </c>
      <c r="T46" s="90">
        <v>0</v>
      </c>
      <c r="U46" s="90">
        <v>0</v>
      </c>
      <c r="V46" s="117">
        <f t="shared" si="3"/>
        <v>0</v>
      </c>
      <c r="W46" s="90">
        <v>0</v>
      </c>
      <c r="X46" s="90">
        <v>0</v>
      </c>
      <c r="Y46" s="90">
        <v>0</v>
      </c>
      <c r="Z46" s="90">
        <v>0</v>
      </c>
      <c r="AA46" s="117">
        <f t="shared" si="6"/>
        <v>0</v>
      </c>
      <c r="AB46" s="90">
        <v>0</v>
      </c>
      <c r="AC46" s="90">
        <v>0</v>
      </c>
      <c r="AD46" s="90">
        <v>0</v>
      </c>
      <c r="AE46" s="90">
        <v>0</v>
      </c>
      <c r="AF46" s="117">
        <v>0</v>
      </c>
      <c r="AG46" s="90">
        <v>0</v>
      </c>
      <c r="AH46" s="90">
        <v>0</v>
      </c>
      <c r="AI46" s="90">
        <v>0</v>
      </c>
      <c r="AJ46" s="90">
        <v>0</v>
      </c>
      <c r="AK46" s="117">
        <f t="shared" si="4"/>
        <v>0</v>
      </c>
      <c r="AL46" s="189">
        <v>0</v>
      </c>
      <c r="AM46" s="189">
        <v>0</v>
      </c>
      <c r="AN46" s="189">
        <v>0</v>
      </c>
      <c r="AO46" s="189">
        <v>0</v>
      </c>
      <c r="AP46" s="208">
        <v>0</v>
      </c>
      <c r="AQ46" s="210">
        <v>0</v>
      </c>
      <c r="AR46" s="189">
        <v>0</v>
      </c>
      <c r="AS46" s="189">
        <v>0</v>
      </c>
      <c r="AT46" s="189">
        <v>0</v>
      </c>
      <c r="AU46" s="211">
        <v>0</v>
      </c>
      <c r="AV46" s="189">
        <v>0</v>
      </c>
      <c r="AW46" s="189">
        <v>0</v>
      </c>
      <c r="AX46" s="189">
        <v>0</v>
      </c>
      <c r="AY46" s="189">
        <v>0</v>
      </c>
      <c r="AZ46" s="208">
        <v>0</v>
      </c>
      <c r="BA46" s="189">
        <v>0</v>
      </c>
      <c r="BB46" s="189">
        <v>0</v>
      </c>
      <c r="BC46" s="189">
        <v>0</v>
      </c>
      <c r="BD46" s="189">
        <v>0</v>
      </c>
      <c r="BE46" s="208">
        <v>0</v>
      </c>
      <c r="BF46" s="189">
        <v>0</v>
      </c>
      <c r="BG46" s="189">
        <v>0</v>
      </c>
      <c r="BH46" s="189">
        <v>0</v>
      </c>
      <c r="BI46" s="189">
        <v>0</v>
      </c>
      <c r="BJ46" s="117">
        <v>0</v>
      </c>
      <c r="BK46" s="51">
        <f t="shared" si="5"/>
        <v>0</v>
      </c>
      <c r="BL46" s="297">
        <f>SUM(BK46:BK47)</f>
        <v>0</v>
      </c>
    </row>
    <row r="47" spans="1:64">
      <c r="A47" s="296"/>
      <c r="B47" s="91" t="s">
        <v>173</v>
      </c>
      <c r="C47" s="97">
        <v>0</v>
      </c>
      <c r="D47" s="97">
        <v>0</v>
      </c>
      <c r="E47" s="97">
        <v>0</v>
      </c>
      <c r="F47" s="97">
        <v>0</v>
      </c>
      <c r="G47" s="117">
        <f t="shared" si="0"/>
        <v>0</v>
      </c>
      <c r="H47" s="97">
        <v>0</v>
      </c>
      <c r="I47" s="97"/>
      <c r="J47" s="97">
        <v>0</v>
      </c>
      <c r="K47" s="98">
        <v>0</v>
      </c>
      <c r="L47" s="117">
        <f t="shared" si="1"/>
        <v>0</v>
      </c>
      <c r="M47" s="98">
        <v>0</v>
      </c>
      <c r="N47" s="98">
        <v>0</v>
      </c>
      <c r="O47" s="98">
        <v>0</v>
      </c>
      <c r="P47" s="98">
        <v>0</v>
      </c>
      <c r="Q47" s="117">
        <f t="shared" si="2"/>
        <v>0</v>
      </c>
      <c r="R47" s="90">
        <v>0</v>
      </c>
      <c r="S47" s="90">
        <v>0</v>
      </c>
      <c r="T47" s="90">
        <v>0</v>
      </c>
      <c r="U47" s="90">
        <v>0</v>
      </c>
      <c r="V47" s="117">
        <f t="shared" si="3"/>
        <v>0</v>
      </c>
      <c r="W47" s="90">
        <v>0</v>
      </c>
      <c r="X47" s="90">
        <v>0</v>
      </c>
      <c r="Y47" s="90">
        <v>0</v>
      </c>
      <c r="Z47" s="90">
        <v>0</v>
      </c>
      <c r="AA47" s="117">
        <f t="shared" si="6"/>
        <v>0</v>
      </c>
      <c r="AB47" s="90">
        <v>0</v>
      </c>
      <c r="AC47" s="90">
        <v>0</v>
      </c>
      <c r="AD47" s="90">
        <v>0</v>
      </c>
      <c r="AE47" s="90">
        <v>0</v>
      </c>
      <c r="AF47" s="117">
        <v>0</v>
      </c>
      <c r="AG47" s="90">
        <v>0</v>
      </c>
      <c r="AH47" s="90">
        <v>0</v>
      </c>
      <c r="AI47" s="90">
        <v>0</v>
      </c>
      <c r="AJ47" s="90">
        <v>0</v>
      </c>
      <c r="AK47" s="117">
        <f t="shared" si="4"/>
        <v>0</v>
      </c>
      <c r="AL47" s="189">
        <v>0</v>
      </c>
      <c r="AM47" s="189">
        <v>0</v>
      </c>
      <c r="AN47" s="189">
        <v>0</v>
      </c>
      <c r="AO47" s="189">
        <v>0</v>
      </c>
      <c r="AP47" s="208">
        <v>0</v>
      </c>
      <c r="AQ47" s="210">
        <v>0</v>
      </c>
      <c r="AR47" s="189">
        <v>0</v>
      </c>
      <c r="AS47" s="189">
        <v>0</v>
      </c>
      <c r="AT47" s="189">
        <v>0</v>
      </c>
      <c r="AU47" s="211">
        <v>0</v>
      </c>
      <c r="AV47" s="189">
        <v>0</v>
      </c>
      <c r="AW47" s="189">
        <v>0</v>
      </c>
      <c r="AX47" s="189">
        <v>0</v>
      </c>
      <c r="AY47" s="189">
        <v>0</v>
      </c>
      <c r="AZ47" s="208">
        <v>0</v>
      </c>
      <c r="BA47" s="189">
        <v>0</v>
      </c>
      <c r="BB47" s="189">
        <v>0</v>
      </c>
      <c r="BC47" s="189">
        <v>0</v>
      </c>
      <c r="BD47" s="189">
        <v>0</v>
      </c>
      <c r="BE47" s="208">
        <v>0</v>
      </c>
      <c r="BF47" s="189">
        <v>0</v>
      </c>
      <c r="BG47" s="189">
        <v>0</v>
      </c>
      <c r="BH47" s="189">
        <v>0</v>
      </c>
      <c r="BI47" s="189">
        <v>0</v>
      </c>
      <c r="BJ47" s="117">
        <v>0</v>
      </c>
      <c r="BK47" s="51">
        <f t="shared" si="5"/>
        <v>0</v>
      </c>
      <c r="BL47" s="297"/>
    </row>
    <row r="48" spans="1:64">
      <c r="A48" s="305" t="s">
        <v>191</v>
      </c>
      <c r="B48" s="305"/>
      <c r="C48" s="305"/>
      <c r="D48" s="305"/>
      <c r="E48" s="305"/>
      <c r="F48" s="305"/>
      <c r="G48" s="96">
        <f>SUM(G11:G47)</f>
        <v>84</v>
      </c>
      <c r="L48" s="96">
        <f>SUM(L11:L47)</f>
        <v>163</v>
      </c>
      <c r="Q48" s="96">
        <f>SUM(Q11:Q47)</f>
        <v>70</v>
      </c>
      <c r="V48" s="96">
        <f>SUM(V11:V47)</f>
        <v>0</v>
      </c>
      <c r="AA48" s="96">
        <f>SUM(AA11:AA47)</f>
        <v>29</v>
      </c>
      <c r="AF48" s="96">
        <f>SUM(AF11:AF47)</f>
        <v>0</v>
      </c>
      <c r="AK48" s="95">
        <f>SUM(AK11:AK47)</f>
        <v>80</v>
      </c>
      <c r="AP48" s="95">
        <f>SUM(AP11:AP47)</f>
        <v>4</v>
      </c>
      <c r="AU48" s="95">
        <f>SUM(AU11:AU47)</f>
        <v>190</v>
      </c>
      <c r="AZ48" s="95">
        <f>SUM(AZ11:AZ47)</f>
        <v>47</v>
      </c>
      <c r="BE48" s="95">
        <f>SUM(BE11:BE47)</f>
        <v>50</v>
      </c>
      <c r="BJ48" s="95">
        <f>SUM(BJ11:BJ47)</f>
        <v>0</v>
      </c>
      <c r="BL48" s="96">
        <f>SUM(BL11:BL47)</f>
        <v>707</v>
      </c>
    </row>
  </sheetData>
  <mergeCells count="48">
    <mergeCell ref="BL38:BL39"/>
    <mergeCell ref="A48:F48"/>
    <mergeCell ref="A42:A43"/>
    <mergeCell ref="BL42:BL43"/>
    <mergeCell ref="A44:A45"/>
    <mergeCell ref="BL44:BL45"/>
    <mergeCell ref="A46:A47"/>
    <mergeCell ref="BL46:BL47"/>
    <mergeCell ref="A40:A41"/>
    <mergeCell ref="BL40:BL41"/>
    <mergeCell ref="A17:A18"/>
    <mergeCell ref="BL17:BL18"/>
    <mergeCell ref="A19:A20"/>
    <mergeCell ref="BL19:BL20"/>
    <mergeCell ref="A22:A23"/>
    <mergeCell ref="BL22:BL37"/>
    <mergeCell ref="A24:A25"/>
    <mergeCell ref="A26:A27"/>
    <mergeCell ref="A28:A29"/>
    <mergeCell ref="A30:A31"/>
    <mergeCell ref="A32:A33"/>
    <mergeCell ref="A34:A35"/>
    <mergeCell ref="A36:A37"/>
    <mergeCell ref="A38:A39"/>
    <mergeCell ref="A11:A12"/>
    <mergeCell ref="BL11:BL12"/>
    <mergeCell ref="A13:A14"/>
    <mergeCell ref="BL13:BL14"/>
    <mergeCell ref="A15:A16"/>
    <mergeCell ref="BL15:BL16"/>
    <mergeCell ref="BF9:BJ9"/>
    <mergeCell ref="C9:G9"/>
    <mergeCell ref="H9:L9"/>
    <mergeCell ref="M9:Q9"/>
    <mergeCell ref="R9:V9"/>
    <mergeCell ref="W9:AA9"/>
    <mergeCell ref="AB9:AF9"/>
    <mergeCell ref="AG9:AK9"/>
    <mergeCell ref="AL9:AP9"/>
    <mergeCell ref="AQ9:AU9"/>
    <mergeCell ref="AV9:AZ9"/>
    <mergeCell ref="BA9:BE9"/>
    <mergeCell ref="G7:L7"/>
    <mergeCell ref="C1:AD1"/>
    <mergeCell ref="C2:AE2"/>
    <mergeCell ref="D4:L4"/>
    <mergeCell ref="D5:L5"/>
    <mergeCell ref="D6:L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U254"/>
  <sheetViews>
    <sheetView showGridLines="0" topLeftCell="A76" workbookViewId="0">
      <selection activeCell="F83" sqref="F83"/>
    </sheetView>
  </sheetViews>
  <sheetFormatPr baseColWidth="10" defaultColWidth="9.140625" defaultRowHeight="12.75"/>
  <cols>
    <col min="1" max="1" width="3" style="14" customWidth="1"/>
    <col min="2" max="2" width="2" style="14" customWidth="1"/>
    <col min="3" max="4" width="10" style="14" customWidth="1"/>
    <col min="5" max="5" width="9.140625" style="14" customWidth="1"/>
    <col min="6" max="6" width="21.85546875" style="14" customWidth="1"/>
    <col min="7" max="7" width="9" style="14" hidden="1" customWidth="1"/>
    <col min="8" max="8" width="10" style="14" customWidth="1"/>
    <col min="9" max="9" width="6" style="14" hidden="1" customWidth="1"/>
    <col min="10" max="10" width="15.140625" style="14" hidden="1" customWidth="1"/>
    <col min="11" max="11" width="11.7109375" style="14" customWidth="1"/>
    <col min="12" max="12" width="16.42578125" style="14" customWidth="1"/>
    <col min="13" max="13" width="19.42578125" style="14" customWidth="1"/>
    <col min="14" max="14" width="11.140625" style="14" customWidth="1"/>
    <col min="15" max="15" width="15" style="14" customWidth="1"/>
    <col min="16" max="16" width="16.5703125" style="14" customWidth="1"/>
    <col min="17" max="17" width="3.7109375" style="46" customWidth="1"/>
    <col min="18" max="18" width="2.42578125" style="46" customWidth="1"/>
    <col min="19" max="19" width="11" style="14" customWidth="1"/>
    <col min="20" max="20" width="20.42578125" style="14" customWidth="1"/>
    <col min="21" max="21" width="23.42578125" style="14" customWidth="1"/>
    <col min="22" max="22" width="25.28515625" style="14" customWidth="1"/>
    <col min="23" max="256" width="9.140625" style="14"/>
    <col min="257" max="257" width="3" style="14" customWidth="1"/>
    <col min="258" max="258" width="2" style="14" customWidth="1"/>
    <col min="259" max="260" width="10" style="14" customWidth="1"/>
    <col min="261" max="261" width="0.28515625" style="14" customWidth="1"/>
    <col min="262" max="262" width="21.85546875" style="14" customWidth="1"/>
    <col min="263" max="263" width="0" style="14" hidden="1" customWidth="1"/>
    <col min="264" max="264" width="10" style="14" customWidth="1"/>
    <col min="265" max="266" width="0" style="14" hidden="1" customWidth="1"/>
    <col min="267" max="267" width="11.7109375" style="14" customWidth="1"/>
    <col min="268" max="268" width="1.140625" style="14" customWidth="1"/>
    <col min="269" max="269" width="2.140625" style="14" customWidth="1"/>
    <col min="270" max="270" width="8.85546875" style="14" customWidth="1"/>
    <col min="271" max="271" width="7.85546875" style="14" customWidth="1"/>
    <col min="272" max="272" width="3.5703125" style="14" customWidth="1"/>
    <col min="273" max="273" width="12.5703125" style="14" customWidth="1"/>
    <col min="274" max="274" width="23" style="14" customWidth="1"/>
    <col min="275" max="275" width="11" style="14" customWidth="1"/>
    <col min="276" max="276" width="0" style="14" hidden="1" customWidth="1"/>
    <col min="277" max="277" width="1.42578125" style="14" customWidth="1"/>
    <col min="278" max="278" width="1.7109375" style="14" customWidth="1"/>
    <col min="279" max="512" width="9.140625" style="14"/>
    <col min="513" max="513" width="3" style="14" customWidth="1"/>
    <col min="514" max="514" width="2" style="14" customWidth="1"/>
    <col min="515" max="516" width="10" style="14" customWidth="1"/>
    <col min="517" max="517" width="0.28515625" style="14" customWidth="1"/>
    <col min="518" max="518" width="21.85546875" style="14" customWidth="1"/>
    <col min="519" max="519" width="0" style="14" hidden="1" customWidth="1"/>
    <col min="520" max="520" width="10" style="14" customWidth="1"/>
    <col min="521" max="522" width="0" style="14" hidden="1" customWidth="1"/>
    <col min="523" max="523" width="11.7109375" style="14" customWidth="1"/>
    <col min="524" max="524" width="1.140625" style="14" customWidth="1"/>
    <col min="525" max="525" width="2.140625" style="14" customWidth="1"/>
    <col min="526" max="526" width="8.85546875" style="14" customWidth="1"/>
    <col min="527" max="527" width="7.85546875" style="14" customWidth="1"/>
    <col min="528" max="528" width="3.5703125" style="14" customWidth="1"/>
    <col min="529" max="529" width="12.5703125" style="14" customWidth="1"/>
    <col min="530" max="530" width="23" style="14" customWidth="1"/>
    <col min="531" max="531" width="11" style="14" customWidth="1"/>
    <col min="532" max="532" width="0" style="14" hidden="1" customWidth="1"/>
    <col min="533" max="533" width="1.42578125" style="14" customWidth="1"/>
    <col min="534" max="534" width="1.7109375" style="14" customWidth="1"/>
    <col min="535" max="768" width="9.140625" style="14"/>
    <col min="769" max="769" width="3" style="14" customWidth="1"/>
    <col min="770" max="770" width="2" style="14" customWidth="1"/>
    <col min="771" max="772" width="10" style="14" customWidth="1"/>
    <col min="773" max="773" width="0.28515625" style="14" customWidth="1"/>
    <col min="774" max="774" width="21.85546875" style="14" customWidth="1"/>
    <col min="775" max="775" width="0" style="14" hidden="1" customWidth="1"/>
    <col min="776" max="776" width="10" style="14" customWidth="1"/>
    <col min="777" max="778" width="0" style="14" hidden="1" customWidth="1"/>
    <col min="779" max="779" width="11.7109375" style="14" customWidth="1"/>
    <col min="780" max="780" width="1.140625" style="14" customWidth="1"/>
    <col min="781" max="781" width="2.140625" style="14" customWidth="1"/>
    <col min="782" max="782" width="8.85546875" style="14" customWidth="1"/>
    <col min="783" max="783" width="7.85546875" style="14" customWidth="1"/>
    <col min="784" max="784" width="3.5703125" style="14" customWidth="1"/>
    <col min="785" max="785" width="12.5703125" style="14" customWidth="1"/>
    <col min="786" max="786" width="23" style="14" customWidth="1"/>
    <col min="787" max="787" width="11" style="14" customWidth="1"/>
    <col min="788" max="788" width="0" style="14" hidden="1" customWidth="1"/>
    <col min="789" max="789" width="1.42578125" style="14" customWidth="1"/>
    <col min="790" max="790" width="1.7109375" style="14" customWidth="1"/>
    <col min="791" max="1024" width="9.140625" style="14"/>
    <col min="1025" max="1025" width="3" style="14" customWidth="1"/>
    <col min="1026" max="1026" width="2" style="14" customWidth="1"/>
    <col min="1027" max="1028" width="10" style="14" customWidth="1"/>
    <col min="1029" max="1029" width="0.28515625" style="14" customWidth="1"/>
    <col min="1030" max="1030" width="21.85546875" style="14" customWidth="1"/>
    <col min="1031" max="1031" width="0" style="14" hidden="1" customWidth="1"/>
    <col min="1032" max="1032" width="10" style="14" customWidth="1"/>
    <col min="1033" max="1034" width="0" style="14" hidden="1" customWidth="1"/>
    <col min="1035" max="1035" width="11.7109375" style="14" customWidth="1"/>
    <col min="1036" max="1036" width="1.140625" style="14" customWidth="1"/>
    <col min="1037" max="1037" width="2.140625" style="14" customWidth="1"/>
    <col min="1038" max="1038" width="8.85546875" style="14" customWidth="1"/>
    <col min="1039" max="1039" width="7.85546875" style="14" customWidth="1"/>
    <col min="1040" max="1040" width="3.5703125" style="14" customWidth="1"/>
    <col min="1041" max="1041" width="12.5703125" style="14" customWidth="1"/>
    <col min="1042" max="1042" width="23" style="14" customWidth="1"/>
    <col min="1043" max="1043" width="11" style="14" customWidth="1"/>
    <col min="1044" max="1044" width="0" style="14" hidden="1" customWidth="1"/>
    <col min="1045" max="1045" width="1.42578125" style="14" customWidth="1"/>
    <col min="1046" max="1046" width="1.7109375" style="14" customWidth="1"/>
    <col min="1047" max="1280" width="9.140625" style="14"/>
    <col min="1281" max="1281" width="3" style="14" customWidth="1"/>
    <col min="1282" max="1282" width="2" style="14" customWidth="1"/>
    <col min="1283" max="1284" width="10" style="14" customWidth="1"/>
    <col min="1285" max="1285" width="0.28515625" style="14" customWidth="1"/>
    <col min="1286" max="1286" width="21.85546875" style="14" customWidth="1"/>
    <col min="1287" max="1287" width="0" style="14" hidden="1" customWidth="1"/>
    <col min="1288" max="1288" width="10" style="14" customWidth="1"/>
    <col min="1289" max="1290" width="0" style="14" hidden="1" customWidth="1"/>
    <col min="1291" max="1291" width="11.7109375" style="14" customWidth="1"/>
    <col min="1292" max="1292" width="1.140625" style="14" customWidth="1"/>
    <col min="1293" max="1293" width="2.140625" style="14" customWidth="1"/>
    <col min="1294" max="1294" width="8.85546875" style="14" customWidth="1"/>
    <col min="1295" max="1295" width="7.85546875" style="14" customWidth="1"/>
    <col min="1296" max="1296" width="3.5703125" style="14" customWidth="1"/>
    <col min="1297" max="1297" width="12.5703125" style="14" customWidth="1"/>
    <col min="1298" max="1298" width="23" style="14" customWidth="1"/>
    <col min="1299" max="1299" width="11" style="14" customWidth="1"/>
    <col min="1300" max="1300" width="0" style="14" hidden="1" customWidth="1"/>
    <col min="1301" max="1301" width="1.42578125" style="14" customWidth="1"/>
    <col min="1302" max="1302" width="1.7109375" style="14" customWidth="1"/>
    <col min="1303" max="1536" width="9.140625" style="14"/>
    <col min="1537" max="1537" width="3" style="14" customWidth="1"/>
    <col min="1538" max="1538" width="2" style="14" customWidth="1"/>
    <col min="1539" max="1540" width="10" style="14" customWidth="1"/>
    <col min="1541" max="1541" width="0.28515625" style="14" customWidth="1"/>
    <col min="1542" max="1542" width="21.85546875" style="14" customWidth="1"/>
    <col min="1543" max="1543" width="0" style="14" hidden="1" customWidth="1"/>
    <col min="1544" max="1544" width="10" style="14" customWidth="1"/>
    <col min="1545" max="1546" width="0" style="14" hidden="1" customWidth="1"/>
    <col min="1547" max="1547" width="11.7109375" style="14" customWidth="1"/>
    <col min="1548" max="1548" width="1.140625" style="14" customWidth="1"/>
    <col min="1549" max="1549" width="2.140625" style="14" customWidth="1"/>
    <col min="1550" max="1550" width="8.85546875" style="14" customWidth="1"/>
    <col min="1551" max="1551" width="7.85546875" style="14" customWidth="1"/>
    <col min="1552" max="1552" width="3.5703125" style="14" customWidth="1"/>
    <col min="1553" max="1553" width="12.5703125" style="14" customWidth="1"/>
    <col min="1554" max="1554" width="23" style="14" customWidth="1"/>
    <col min="1555" max="1555" width="11" style="14" customWidth="1"/>
    <col min="1556" max="1556" width="0" style="14" hidden="1" customWidth="1"/>
    <col min="1557" max="1557" width="1.42578125" style="14" customWidth="1"/>
    <col min="1558" max="1558" width="1.7109375" style="14" customWidth="1"/>
    <col min="1559" max="1792" width="9.140625" style="14"/>
    <col min="1793" max="1793" width="3" style="14" customWidth="1"/>
    <col min="1794" max="1794" width="2" style="14" customWidth="1"/>
    <col min="1795" max="1796" width="10" style="14" customWidth="1"/>
    <col min="1797" max="1797" width="0.28515625" style="14" customWidth="1"/>
    <col min="1798" max="1798" width="21.85546875" style="14" customWidth="1"/>
    <col min="1799" max="1799" width="0" style="14" hidden="1" customWidth="1"/>
    <col min="1800" max="1800" width="10" style="14" customWidth="1"/>
    <col min="1801" max="1802" width="0" style="14" hidden="1" customWidth="1"/>
    <col min="1803" max="1803" width="11.7109375" style="14" customWidth="1"/>
    <col min="1804" max="1804" width="1.140625" style="14" customWidth="1"/>
    <col min="1805" max="1805" width="2.140625" style="14" customWidth="1"/>
    <col min="1806" max="1806" width="8.85546875" style="14" customWidth="1"/>
    <col min="1807" max="1807" width="7.85546875" style="14" customWidth="1"/>
    <col min="1808" max="1808" width="3.5703125" style="14" customWidth="1"/>
    <col min="1809" max="1809" width="12.5703125" style="14" customWidth="1"/>
    <col min="1810" max="1810" width="23" style="14" customWidth="1"/>
    <col min="1811" max="1811" width="11" style="14" customWidth="1"/>
    <col min="1812" max="1812" width="0" style="14" hidden="1" customWidth="1"/>
    <col min="1813" max="1813" width="1.42578125" style="14" customWidth="1"/>
    <col min="1814" max="1814" width="1.7109375" style="14" customWidth="1"/>
    <col min="1815" max="2048" width="9.140625" style="14"/>
    <col min="2049" max="2049" width="3" style="14" customWidth="1"/>
    <col min="2050" max="2050" width="2" style="14" customWidth="1"/>
    <col min="2051" max="2052" width="10" style="14" customWidth="1"/>
    <col min="2053" max="2053" width="0.28515625" style="14" customWidth="1"/>
    <col min="2054" max="2054" width="21.85546875" style="14" customWidth="1"/>
    <col min="2055" max="2055" width="0" style="14" hidden="1" customWidth="1"/>
    <col min="2056" max="2056" width="10" style="14" customWidth="1"/>
    <col min="2057" max="2058" width="0" style="14" hidden="1" customWidth="1"/>
    <col min="2059" max="2059" width="11.7109375" style="14" customWidth="1"/>
    <col min="2060" max="2060" width="1.140625" style="14" customWidth="1"/>
    <col min="2061" max="2061" width="2.140625" style="14" customWidth="1"/>
    <col min="2062" max="2062" width="8.85546875" style="14" customWidth="1"/>
    <col min="2063" max="2063" width="7.85546875" style="14" customWidth="1"/>
    <col min="2064" max="2064" width="3.5703125" style="14" customWidth="1"/>
    <col min="2065" max="2065" width="12.5703125" style="14" customWidth="1"/>
    <col min="2066" max="2066" width="23" style="14" customWidth="1"/>
    <col min="2067" max="2067" width="11" style="14" customWidth="1"/>
    <col min="2068" max="2068" width="0" style="14" hidden="1" customWidth="1"/>
    <col min="2069" max="2069" width="1.42578125" style="14" customWidth="1"/>
    <col min="2070" max="2070" width="1.7109375" style="14" customWidth="1"/>
    <col min="2071" max="2304" width="9.140625" style="14"/>
    <col min="2305" max="2305" width="3" style="14" customWidth="1"/>
    <col min="2306" max="2306" width="2" style="14" customWidth="1"/>
    <col min="2307" max="2308" width="10" style="14" customWidth="1"/>
    <col min="2309" max="2309" width="0.28515625" style="14" customWidth="1"/>
    <col min="2310" max="2310" width="21.85546875" style="14" customWidth="1"/>
    <col min="2311" max="2311" width="0" style="14" hidden="1" customWidth="1"/>
    <col min="2312" max="2312" width="10" style="14" customWidth="1"/>
    <col min="2313" max="2314" width="0" style="14" hidden="1" customWidth="1"/>
    <col min="2315" max="2315" width="11.7109375" style="14" customWidth="1"/>
    <col min="2316" max="2316" width="1.140625" style="14" customWidth="1"/>
    <col min="2317" max="2317" width="2.140625" style="14" customWidth="1"/>
    <col min="2318" max="2318" width="8.85546875" style="14" customWidth="1"/>
    <col min="2319" max="2319" width="7.85546875" style="14" customWidth="1"/>
    <col min="2320" max="2320" width="3.5703125" style="14" customWidth="1"/>
    <col min="2321" max="2321" width="12.5703125" style="14" customWidth="1"/>
    <col min="2322" max="2322" width="23" style="14" customWidth="1"/>
    <col min="2323" max="2323" width="11" style="14" customWidth="1"/>
    <col min="2324" max="2324" width="0" style="14" hidden="1" customWidth="1"/>
    <col min="2325" max="2325" width="1.42578125" style="14" customWidth="1"/>
    <col min="2326" max="2326" width="1.7109375" style="14" customWidth="1"/>
    <col min="2327" max="2560" width="9.140625" style="14"/>
    <col min="2561" max="2561" width="3" style="14" customWidth="1"/>
    <col min="2562" max="2562" width="2" style="14" customWidth="1"/>
    <col min="2563" max="2564" width="10" style="14" customWidth="1"/>
    <col min="2565" max="2565" width="0.28515625" style="14" customWidth="1"/>
    <col min="2566" max="2566" width="21.85546875" style="14" customWidth="1"/>
    <col min="2567" max="2567" width="0" style="14" hidden="1" customWidth="1"/>
    <col min="2568" max="2568" width="10" style="14" customWidth="1"/>
    <col min="2569" max="2570" width="0" style="14" hidden="1" customWidth="1"/>
    <col min="2571" max="2571" width="11.7109375" style="14" customWidth="1"/>
    <col min="2572" max="2572" width="1.140625" style="14" customWidth="1"/>
    <col min="2573" max="2573" width="2.140625" style="14" customWidth="1"/>
    <col min="2574" max="2574" width="8.85546875" style="14" customWidth="1"/>
    <col min="2575" max="2575" width="7.85546875" style="14" customWidth="1"/>
    <col min="2576" max="2576" width="3.5703125" style="14" customWidth="1"/>
    <col min="2577" max="2577" width="12.5703125" style="14" customWidth="1"/>
    <col min="2578" max="2578" width="23" style="14" customWidth="1"/>
    <col min="2579" max="2579" width="11" style="14" customWidth="1"/>
    <col min="2580" max="2580" width="0" style="14" hidden="1" customWidth="1"/>
    <col min="2581" max="2581" width="1.42578125" style="14" customWidth="1"/>
    <col min="2582" max="2582" width="1.7109375" style="14" customWidth="1"/>
    <col min="2583" max="2816" width="9.140625" style="14"/>
    <col min="2817" max="2817" width="3" style="14" customWidth="1"/>
    <col min="2818" max="2818" width="2" style="14" customWidth="1"/>
    <col min="2819" max="2820" width="10" style="14" customWidth="1"/>
    <col min="2821" max="2821" width="0.28515625" style="14" customWidth="1"/>
    <col min="2822" max="2822" width="21.85546875" style="14" customWidth="1"/>
    <col min="2823" max="2823" width="0" style="14" hidden="1" customWidth="1"/>
    <col min="2824" max="2824" width="10" style="14" customWidth="1"/>
    <col min="2825" max="2826" width="0" style="14" hidden="1" customWidth="1"/>
    <col min="2827" max="2827" width="11.7109375" style="14" customWidth="1"/>
    <col min="2828" max="2828" width="1.140625" style="14" customWidth="1"/>
    <col min="2829" max="2829" width="2.140625" style="14" customWidth="1"/>
    <col min="2830" max="2830" width="8.85546875" style="14" customWidth="1"/>
    <col min="2831" max="2831" width="7.85546875" style="14" customWidth="1"/>
    <col min="2832" max="2832" width="3.5703125" style="14" customWidth="1"/>
    <col min="2833" max="2833" width="12.5703125" style="14" customWidth="1"/>
    <col min="2834" max="2834" width="23" style="14" customWidth="1"/>
    <col min="2835" max="2835" width="11" style="14" customWidth="1"/>
    <col min="2836" max="2836" width="0" style="14" hidden="1" customWidth="1"/>
    <col min="2837" max="2837" width="1.42578125" style="14" customWidth="1"/>
    <col min="2838" max="2838" width="1.7109375" style="14" customWidth="1"/>
    <col min="2839" max="3072" width="9.140625" style="14"/>
    <col min="3073" max="3073" width="3" style="14" customWidth="1"/>
    <col min="3074" max="3074" width="2" style="14" customWidth="1"/>
    <col min="3075" max="3076" width="10" style="14" customWidth="1"/>
    <col min="3077" max="3077" width="0.28515625" style="14" customWidth="1"/>
    <col min="3078" max="3078" width="21.85546875" style="14" customWidth="1"/>
    <col min="3079" max="3079" width="0" style="14" hidden="1" customWidth="1"/>
    <col min="3080" max="3080" width="10" style="14" customWidth="1"/>
    <col min="3081" max="3082" width="0" style="14" hidden="1" customWidth="1"/>
    <col min="3083" max="3083" width="11.7109375" style="14" customWidth="1"/>
    <col min="3084" max="3084" width="1.140625" style="14" customWidth="1"/>
    <col min="3085" max="3085" width="2.140625" style="14" customWidth="1"/>
    <col min="3086" max="3086" width="8.85546875" style="14" customWidth="1"/>
    <col min="3087" max="3087" width="7.85546875" style="14" customWidth="1"/>
    <col min="3088" max="3088" width="3.5703125" style="14" customWidth="1"/>
    <col min="3089" max="3089" width="12.5703125" style="14" customWidth="1"/>
    <col min="3090" max="3090" width="23" style="14" customWidth="1"/>
    <col min="3091" max="3091" width="11" style="14" customWidth="1"/>
    <col min="3092" max="3092" width="0" style="14" hidden="1" customWidth="1"/>
    <col min="3093" max="3093" width="1.42578125" style="14" customWidth="1"/>
    <col min="3094" max="3094" width="1.7109375" style="14" customWidth="1"/>
    <col min="3095" max="3328" width="9.140625" style="14"/>
    <col min="3329" max="3329" width="3" style="14" customWidth="1"/>
    <col min="3330" max="3330" width="2" style="14" customWidth="1"/>
    <col min="3331" max="3332" width="10" style="14" customWidth="1"/>
    <col min="3333" max="3333" width="0.28515625" style="14" customWidth="1"/>
    <col min="3334" max="3334" width="21.85546875" style="14" customWidth="1"/>
    <col min="3335" max="3335" width="0" style="14" hidden="1" customWidth="1"/>
    <col min="3336" max="3336" width="10" style="14" customWidth="1"/>
    <col min="3337" max="3338" width="0" style="14" hidden="1" customWidth="1"/>
    <col min="3339" max="3339" width="11.7109375" style="14" customWidth="1"/>
    <col min="3340" max="3340" width="1.140625" style="14" customWidth="1"/>
    <col min="3341" max="3341" width="2.140625" style="14" customWidth="1"/>
    <col min="3342" max="3342" width="8.85546875" style="14" customWidth="1"/>
    <col min="3343" max="3343" width="7.85546875" style="14" customWidth="1"/>
    <col min="3344" max="3344" width="3.5703125" style="14" customWidth="1"/>
    <col min="3345" max="3345" width="12.5703125" style="14" customWidth="1"/>
    <col min="3346" max="3346" width="23" style="14" customWidth="1"/>
    <col min="3347" max="3347" width="11" style="14" customWidth="1"/>
    <col min="3348" max="3348" width="0" style="14" hidden="1" customWidth="1"/>
    <col min="3349" max="3349" width="1.42578125" style="14" customWidth="1"/>
    <col min="3350" max="3350" width="1.7109375" style="14" customWidth="1"/>
    <col min="3351" max="3584" width="9.140625" style="14"/>
    <col min="3585" max="3585" width="3" style="14" customWidth="1"/>
    <col min="3586" max="3586" width="2" style="14" customWidth="1"/>
    <col min="3587" max="3588" width="10" style="14" customWidth="1"/>
    <col min="3589" max="3589" width="0.28515625" style="14" customWidth="1"/>
    <col min="3590" max="3590" width="21.85546875" style="14" customWidth="1"/>
    <col min="3591" max="3591" width="0" style="14" hidden="1" customWidth="1"/>
    <col min="3592" max="3592" width="10" style="14" customWidth="1"/>
    <col min="3593" max="3594" width="0" style="14" hidden="1" customWidth="1"/>
    <col min="3595" max="3595" width="11.7109375" style="14" customWidth="1"/>
    <col min="3596" max="3596" width="1.140625" style="14" customWidth="1"/>
    <col min="3597" max="3597" width="2.140625" style="14" customWidth="1"/>
    <col min="3598" max="3598" width="8.85546875" style="14" customWidth="1"/>
    <col min="3599" max="3599" width="7.85546875" style="14" customWidth="1"/>
    <col min="3600" max="3600" width="3.5703125" style="14" customWidth="1"/>
    <col min="3601" max="3601" width="12.5703125" style="14" customWidth="1"/>
    <col min="3602" max="3602" width="23" style="14" customWidth="1"/>
    <col min="3603" max="3603" width="11" style="14" customWidth="1"/>
    <col min="3604" max="3604" width="0" style="14" hidden="1" customWidth="1"/>
    <col min="3605" max="3605" width="1.42578125" style="14" customWidth="1"/>
    <col min="3606" max="3606" width="1.7109375" style="14" customWidth="1"/>
    <col min="3607" max="3840" width="9.140625" style="14"/>
    <col min="3841" max="3841" width="3" style="14" customWidth="1"/>
    <col min="3842" max="3842" width="2" style="14" customWidth="1"/>
    <col min="3843" max="3844" width="10" style="14" customWidth="1"/>
    <col min="3845" max="3845" width="0.28515625" style="14" customWidth="1"/>
    <col min="3846" max="3846" width="21.85546875" style="14" customWidth="1"/>
    <col min="3847" max="3847" width="0" style="14" hidden="1" customWidth="1"/>
    <col min="3848" max="3848" width="10" style="14" customWidth="1"/>
    <col min="3849" max="3850" width="0" style="14" hidden="1" customWidth="1"/>
    <col min="3851" max="3851" width="11.7109375" style="14" customWidth="1"/>
    <col min="3852" max="3852" width="1.140625" style="14" customWidth="1"/>
    <col min="3853" max="3853" width="2.140625" style="14" customWidth="1"/>
    <col min="3854" max="3854" width="8.85546875" style="14" customWidth="1"/>
    <col min="3855" max="3855" width="7.85546875" style="14" customWidth="1"/>
    <col min="3856" max="3856" width="3.5703125" style="14" customWidth="1"/>
    <col min="3857" max="3857" width="12.5703125" style="14" customWidth="1"/>
    <col min="3858" max="3858" width="23" style="14" customWidth="1"/>
    <col min="3859" max="3859" width="11" style="14" customWidth="1"/>
    <col min="3860" max="3860" width="0" style="14" hidden="1" customWidth="1"/>
    <col min="3861" max="3861" width="1.42578125" style="14" customWidth="1"/>
    <col min="3862" max="3862" width="1.7109375" style="14" customWidth="1"/>
    <col min="3863" max="4096" width="9.140625" style="14"/>
    <col min="4097" max="4097" width="3" style="14" customWidth="1"/>
    <col min="4098" max="4098" width="2" style="14" customWidth="1"/>
    <col min="4099" max="4100" width="10" style="14" customWidth="1"/>
    <col min="4101" max="4101" width="0.28515625" style="14" customWidth="1"/>
    <col min="4102" max="4102" width="21.85546875" style="14" customWidth="1"/>
    <col min="4103" max="4103" width="0" style="14" hidden="1" customWidth="1"/>
    <col min="4104" max="4104" width="10" style="14" customWidth="1"/>
    <col min="4105" max="4106" width="0" style="14" hidden="1" customWidth="1"/>
    <col min="4107" max="4107" width="11.7109375" style="14" customWidth="1"/>
    <col min="4108" max="4108" width="1.140625" style="14" customWidth="1"/>
    <col min="4109" max="4109" width="2.140625" style="14" customWidth="1"/>
    <col min="4110" max="4110" width="8.85546875" style="14" customWidth="1"/>
    <col min="4111" max="4111" width="7.85546875" style="14" customWidth="1"/>
    <col min="4112" max="4112" width="3.5703125" style="14" customWidth="1"/>
    <col min="4113" max="4113" width="12.5703125" style="14" customWidth="1"/>
    <col min="4114" max="4114" width="23" style="14" customWidth="1"/>
    <col min="4115" max="4115" width="11" style="14" customWidth="1"/>
    <col min="4116" max="4116" width="0" style="14" hidden="1" customWidth="1"/>
    <col min="4117" max="4117" width="1.42578125" style="14" customWidth="1"/>
    <col min="4118" max="4118" width="1.7109375" style="14" customWidth="1"/>
    <col min="4119" max="4352" width="9.140625" style="14"/>
    <col min="4353" max="4353" width="3" style="14" customWidth="1"/>
    <col min="4354" max="4354" width="2" style="14" customWidth="1"/>
    <col min="4355" max="4356" width="10" style="14" customWidth="1"/>
    <col min="4357" max="4357" width="0.28515625" style="14" customWidth="1"/>
    <col min="4358" max="4358" width="21.85546875" style="14" customWidth="1"/>
    <col min="4359" max="4359" width="0" style="14" hidden="1" customWidth="1"/>
    <col min="4360" max="4360" width="10" style="14" customWidth="1"/>
    <col min="4361" max="4362" width="0" style="14" hidden="1" customWidth="1"/>
    <col min="4363" max="4363" width="11.7109375" style="14" customWidth="1"/>
    <col min="4364" max="4364" width="1.140625" style="14" customWidth="1"/>
    <col min="4365" max="4365" width="2.140625" style="14" customWidth="1"/>
    <col min="4366" max="4366" width="8.85546875" style="14" customWidth="1"/>
    <col min="4367" max="4367" width="7.85546875" style="14" customWidth="1"/>
    <col min="4368" max="4368" width="3.5703125" style="14" customWidth="1"/>
    <col min="4369" max="4369" width="12.5703125" style="14" customWidth="1"/>
    <col min="4370" max="4370" width="23" style="14" customWidth="1"/>
    <col min="4371" max="4371" width="11" style="14" customWidth="1"/>
    <col min="4372" max="4372" width="0" style="14" hidden="1" customWidth="1"/>
    <col min="4373" max="4373" width="1.42578125" style="14" customWidth="1"/>
    <col min="4374" max="4374" width="1.7109375" style="14" customWidth="1"/>
    <col min="4375" max="4608" width="9.140625" style="14"/>
    <col min="4609" max="4609" width="3" style="14" customWidth="1"/>
    <col min="4610" max="4610" width="2" style="14" customWidth="1"/>
    <col min="4611" max="4612" width="10" style="14" customWidth="1"/>
    <col min="4613" max="4613" width="0.28515625" style="14" customWidth="1"/>
    <col min="4614" max="4614" width="21.85546875" style="14" customWidth="1"/>
    <col min="4615" max="4615" width="0" style="14" hidden="1" customWidth="1"/>
    <col min="4616" max="4616" width="10" style="14" customWidth="1"/>
    <col min="4617" max="4618" width="0" style="14" hidden="1" customWidth="1"/>
    <col min="4619" max="4619" width="11.7109375" style="14" customWidth="1"/>
    <col min="4620" max="4620" width="1.140625" style="14" customWidth="1"/>
    <col min="4621" max="4621" width="2.140625" style="14" customWidth="1"/>
    <col min="4622" max="4622" width="8.85546875" style="14" customWidth="1"/>
    <col min="4623" max="4623" width="7.85546875" style="14" customWidth="1"/>
    <col min="4624" max="4624" width="3.5703125" style="14" customWidth="1"/>
    <col min="4625" max="4625" width="12.5703125" style="14" customWidth="1"/>
    <col min="4626" max="4626" width="23" style="14" customWidth="1"/>
    <col min="4627" max="4627" width="11" style="14" customWidth="1"/>
    <col min="4628" max="4628" width="0" style="14" hidden="1" customWidth="1"/>
    <col min="4629" max="4629" width="1.42578125" style="14" customWidth="1"/>
    <col min="4630" max="4630" width="1.7109375" style="14" customWidth="1"/>
    <col min="4631" max="4864" width="9.140625" style="14"/>
    <col min="4865" max="4865" width="3" style="14" customWidth="1"/>
    <col min="4866" max="4866" width="2" style="14" customWidth="1"/>
    <col min="4867" max="4868" width="10" style="14" customWidth="1"/>
    <col min="4869" max="4869" width="0.28515625" style="14" customWidth="1"/>
    <col min="4870" max="4870" width="21.85546875" style="14" customWidth="1"/>
    <col min="4871" max="4871" width="0" style="14" hidden="1" customWidth="1"/>
    <col min="4872" max="4872" width="10" style="14" customWidth="1"/>
    <col min="4873" max="4874" width="0" style="14" hidden="1" customWidth="1"/>
    <col min="4875" max="4875" width="11.7109375" style="14" customWidth="1"/>
    <col min="4876" max="4876" width="1.140625" style="14" customWidth="1"/>
    <col min="4877" max="4877" width="2.140625" style="14" customWidth="1"/>
    <col min="4878" max="4878" width="8.85546875" style="14" customWidth="1"/>
    <col min="4879" max="4879" width="7.85546875" style="14" customWidth="1"/>
    <col min="4880" max="4880" width="3.5703125" style="14" customWidth="1"/>
    <col min="4881" max="4881" width="12.5703125" style="14" customWidth="1"/>
    <col min="4882" max="4882" width="23" style="14" customWidth="1"/>
    <col min="4883" max="4883" width="11" style="14" customWidth="1"/>
    <col min="4884" max="4884" width="0" style="14" hidden="1" customWidth="1"/>
    <col min="4885" max="4885" width="1.42578125" style="14" customWidth="1"/>
    <col min="4886" max="4886" width="1.7109375" style="14" customWidth="1"/>
    <col min="4887" max="5120" width="9.140625" style="14"/>
    <col min="5121" max="5121" width="3" style="14" customWidth="1"/>
    <col min="5122" max="5122" width="2" style="14" customWidth="1"/>
    <col min="5123" max="5124" width="10" style="14" customWidth="1"/>
    <col min="5125" max="5125" width="0.28515625" style="14" customWidth="1"/>
    <col min="5126" max="5126" width="21.85546875" style="14" customWidth="1"/>
    <col min="5127" max="5127" width="0" style="14" hidden="1" customWidth="1"/>
    <col min="5128" max="5128" width="10" style="14" customWidth="1"/>
    <col min="5129" max="5130" width="0" style="14" hidden="1" customWidth="1"/>
    <col min="5131" max="5131" width="11.7109375" style="14" customWidth="1"/>
    <col min="5132" max="5132" width="1.140625" style="14" customWidth="1"/>
    <col min="5133" max="5133" width="2.140625" style="14" customWidth="1"/>
    <col min="5134" max="5134" width="8.85546875" style="14" customWidth="1"/>
    <col min="5135" max="5135" width="7.85546875" style="14" customWidth="1"/>
    <col min="5136" max="5136" width="3.5703125" style="14" customWidth="1"/>
    <col min="5137" max="5137" width="12.5703125" style="14" customWidth="1"/>
    <col min="5138" max="5138" width="23" style="14" customWidth="1"/>
    <col min="5139" max="5139" width="11" style="14" customWidth="1"/>
    <col min="5140" max="5140" width="0" style="14" hidden="1" customWidth="1"/>
    <col min="5141" max="5141" width="1.42578125" style="14" customWidth="1"/>
    <col min="5142" max="5142" width="1.7109375" style="14" customWidth="1"/>
    <col min="5143" max="5376" width="9.140625" style="14"/>
    <col min="5377" max="5377" width="3" style="14" customWidth="1"/>
    <col min="5378" max="5378" width="2" style="14" customWidth="1"/>
    <col min="5379" max="5380" width="10" style="14" customWidth="1"/>
    <col min="5381" max="5381" width="0.28515625" style="14" customWidth="1"/>
    <col min="5382" max="5382" width="21.85546875" style="14" customWidth="1"/>
    <col min="5383" max="5383" width="0" style="14" hidden="1" customWidth="1"/>
    <col min="5384" max="5384" width="10" style="14" customWidth="1"/>
    <col min="5385" max="5386" width="0" style="14" hidden="1" customWidth="1"/>
    <col min="5387" max="5387" width="11.7109375" style="14" customWidth="1"/>
    <col min="5388" max="5388" width="1.140625" style="14" customWidth="1"/>
    <col min="5389" max="5389" width="2.140625" style="14" customWidth="1"/>
    <col min="5390" max="5390" width="8.85546875" style="14" customWidth="1"/>
    <col min="5391" max="5391" width="7.85546875" style="14" customWidth="1"/>
    <col min="5392" max="5392" width="3.5703125" style="14" customWidth="1"/>
    <col min="5393" max="5393" width="12.5703125" style="14" customWidth="1"/>
    <col min="5394" max="5394" width="23" style="14" customWidth="1"/>
    <col min="5395" max="5395" width="11" style="14" customWidth="1"/>
    <col min="5396" max="5396" width="0" style="14" hidden="1" customWidth="1"/>
    <col min="5397" max="5397" width="1.42578125" style="14" customWidth="1"/>
    <col min="5398" max="5398" width="1.7109375" style="14" customWidth="1"/>
    <col min="5399" max="5632" width="9.140625" style="14"/>
    <col min="5633" max="5633" width="3" style="14" customWidth="1"/>
    <col min="5634" max="5634" width="2" style="14" customWidth="1"/>
    <col min="5635" max="5636" width="10" style="14" customWidth="1"/>
    <col min="5637" max="5637" width="0.28515625" style="14" customWidth="1"/>
    <col min="5638" max="5638" width="21.85546875" style="14" customWidth="1"/>
    <col min="5639" max="5639" width="0" style="14" hidden="1" customWidth="1"/>
    <col min="5640" max="5640" width="10" style="14" customWidth="1"/>
    <col min="5641" max="5642" width="0" style="14" hidden="1" customWidth="1"/>
    <col min="5643" max="5643" width="11.7109375" style="14" customWidth="1"/>
    <col min="5644" max="5644" width="1.140625" style="14" customWidth="1"/>
    <col min="5645" max="5645" width="2.140625" style="14" customWidth="1"/>
    <col min="5646" max="5646" width="8.85546875" style="14" customWidth="1"/>
    <col min="5647" max="5647" width="7.85546875" style="14" customWidth="1"/>
    <col min="5648" max="5648" width="3.5703125" style="14" customWidth="1"/>
    <col min="5649" max="5649" width="12.5703125" style="14" customWidth="1"/>
    <col min="5650" max="5650" width="23" style="14" customWidth="1"/>
    <col min="5651" max="5651" width="11" style="14" customWidth="1"/>
    <col min="5652" max="5652" width="0" style="14" hidden="1" customWidth="1"/>
    <col min="5653" max="5653" width="1.42578125" style="14" customWidth="1"/>
    <col min="5654" max="5654" width="1.7109375" style="14" customWidth="1"/>
    <col min="5655" max="5888" width="9.140625" style="14"/>
    <col min="5889" max="5889" width="3" style="14" customWidth="1"/>
    <col min="5890" max="5890" width="2" style="14" customWidth="1"/>
    <col min="5891" max="5892" width="10" style="14" customWidth="1"/>
    <col min="5893" max="5893" width="0.28515625" style="14" customWidth="1"/>
    <col min="5894" max="5894" width="21.85546875" style="14" customWidth="1"/>
    <col min="5895" max="5895" width="0" style="14" hidden="1" customWidth="1"/>
    <col min="5896" max="5896" width="10" style="14" customWidth="1"/>
    <col min="5897" max="5898" width="0" style="14" hidden="1" customWidth="1"/>
    <col min="5899" max="5899" width="11.7109375" style="14" customWidth="1"/>
    <col min="5900" max="5900" width="1.140625" style="14" customWidth="1"/>
    <col min="5901" max="5901" width="2.140625" style="14" customWidth="1"/>
    <col min="5902" max="5902" width="8.85546875" style="14" customWidth="1"/>
    <col min="5903" max="5903" width="7.85546875" style="14" customWidth="1"/>
    <col min="5904" max="5904" width="3.5703125" style="14" customWidth="1"/>
    <col min="5905" max="5905" width="12.5703125" style="14" customWidth="1"/>
    <col min="5906" max="5906" width="23" style="14" customWidth="1"/>
    <col min="5907" max="5907" width="11" style="14" customWidth="1"/>
    <col min="5908" max="5908" width="0" style="14" hidden="1" customWidth="1"/>
    <col min="5909" max="5909" width="1.42578125" style="14" customWidth="1"/>
    <col min="5910" max="5910" width="1.7109375" style="14" customWidth="1"/>
    <col min="5911" max="6144" width="9.140625" style="14"/>
    <col min="6145" max="6145" width="3" style="14" customWidth="1"/>
    <col min="6146" max="6146" width="2" style="14" customWidth="1"/>
    <col min="6147" max="6148" width="10" style="14" customWidth="1"/>
    <col min="6149" max="6149" width="0.28515625" style="14" customWidth="1"/>
    <col min="6150" max="6150" width="21.85546875" style="14" customWidth="1"/>
    <col min="6151" max="6151" width="0" style="14" hidden="1" customWidth="1"/>
    <col min="6152" max="6152" width="10" style="14" customWidth="1"/>
    <col min="6153" max="6154" width="0" style="14" hidden="1" customWidth="1"/>
    <col min="6155" max="6155" width="11.7109375" style="14" customWidth="1"/>
    <col min="6156" max="6156" width="1.140625" style="14" customWidth="1"/>
    <col min="6157" max="6157" width="2.140625" style="14" customWidth="1"/>
    <col min="6158" max="6158" width="8.85546875" style="14" customWidth="1"/>
    <col min="6159" max="6159" width="7.85546875" style="14" customWidth="1"/>
    <col min="6160" max="6160" width="3.5703125" style="14" customWidth="1"/>
    <col min="6161" max="6161" width="12.5703125" style="14" customWidth="1"/>
    <col min="6162" max="6162" width="23" style="14" customWidth="1"/>
    <col min="6163" max="6163" width="11" style="14" customWidth="1"/>
    <col min="6164" max="6164" width="0" style="14" hidden="1" customWidth="1"/>
    <col min="6165" max="6165" width="1.42578125" style="14" customWidth="1"/>
    <col min="6166" max="6166" width="1.7109375" style="14" customWidth="1"/>
    <col min="6167" max="6400" width="9.140625" style="14"/>
    <col min="6401" max="6401" width="3" style="14" customWidth="1"/>
    <col min="6402" max="6402" width="2" style="14" customWidth="1"/>
    <col min="6403" max="6404" width="10" style="14" customWidth="1"/>
    <col min="6405" max="6405" width="0.28515625" style="14" customWidth="1"/>
    <col min="6406" max="6406" width="21.85546875" style="14" customWidth="1"/>
    <col min="6407" max="6407" width="0" style="14" hidden="1" customWidth="1"/>
    <col min="6408" max="6408" width="10" style="14" customWidth="1"/>
    <col min="6409" max="6410" width="0" style="14" hidden="1" customWidth="1"/>
    <col min="6411" max="6411" width="11.7109375" style="14" customWidth="1"/>
    <col min="6412" max="6412" width="1.140625" style="14" customWidth="1"/>
    <col min="6413" max="6413" width="2.140625" style="14" customWidth="1"/>
    <col min="6414" max="6414" width="8.85546875" style="14" customWidth="1"/>
    <col min="6415" max="6415" width="7.85546875" style="14" customWidth="1"/>
    <col min="6416" max="6416" width="3.5703125" style="14" customWidth="1"/>
    <col min="6417" max="6417" width="12.5703125" style="14" customWidth="1"/>
    <col min="6418" max="6418" width="23" style="14" customWidth="1"/>
    <col min="6419" max="6419" width="11" style="14" customWidth="1"/>
    <col min="6420" max="6420" width="0" style="14" hidden="1" customWidth="1"/>
    <col min="6421" max="6421" width="1.42578125" style="14" customWidth="1"/>
    <col min="6422" max="6422" width="1.7109375" style="14" customWidth="1"/>
    <col min="6423" max="6656" width="9.140625" style="14"/>
    <col min="6657" max="6657" width="3" style="14" customWidth="1"/>
    <col min="6658" max="6658" width="2" style="14" customWidth="1"/>
    <col min="6659" max="6660" width="10" style="14" customWidth="1"/>
    <col min="6661" max="6661" width="0.28515625" style="14" customWidth="1"/>
    <col min="6662" max="6662" width="21.85546875" style="14" customWidth="1"/>
    <col min="6663" max="6663" width="0" style="14" hidden="1" customWidth="1"/>
    <col min="6664" max="6664" width="10" style="14" customWidth="1"/>
    <col min="6665" max="6666" width="0" style="14" hidden="1" customWidth="1"/>
    <col min="6667" max="6667" width="11.7109375" style="14" customWidth="1"/>
    <col min="6668" max="6668" width="1.140625" style="14" customWidth="1"/>
    <col min="6669" max="6669" width="2.140625" style="14" customWidth="1"/>
    <col min="6670" max="6670" width="8.85546875" style="14" customWidth="1"/>
    <col min="6671" max="6671" width="7.85546875" style="14" customWidth="1"/>
    <col min="6672" max="6672" width="3.5703125" style="14" customWidth="1"/>
    <col min="6673" max="6673" width="12.5703125" style="14" customWidth="1"/>
    <col min="6674" max="6674" width="23" style="14" customWidth="1"/>
    <col min="6675" max="6675" width="11" style="14" customWidth="1"/>
    <col min="6676" max="6676" width="0" style="14" hidden="1" customWidth="1"/>
    <col min="6677" max="6677" width="1.42578125" style="14" customWidth="1"/>
    <col min="6678" max="6678" width="1.7109375" style="14" customWidth="1"/>
    <col min="6679" max="6912" width="9.140625" style="14"/>
    <col min="6913" max="6913" width="3" style="14" customWidth="1"/>
    <col min="6914" max="6914" width="2" style="14" customWidth="1"/>
    <col min="6915" max="6916" width="10" style="14" customWidth="1"/>
    <col min="6917" max="6917" width="0.28515625" style="14" customWidth="1"/>
    <col min="6918" max="6918" width="21.85546875" style="14" customWidth="1"/>
    <col min="6919" max="6919" width="0" style="14" hidden="1" customWidth="1"/>
    <col min="6920" max="6920" width="10" style="14" customWidth="1"/>
    <col min="6921" max="6922" width="0" style="14" hidden="1" customWidth="1"/>
    <col min="6923" max="6923" width="11.7109375" style="14" customWidth="1"/>
    <col min="6924" max="6924" width="1.140625" style="14" customWidth="1"/>
    <col min="6925" max="6925" width="2.140625" style="14" customWidth="1"/>
    <col min="6926" max="6926" width="8.85546875" style="14" customWidth="1"/>
    <col min="6927" max="6927" width="7.85546875" style="14" customWidth="1"/>
    <col min="6928" max="6928" width="3.5703125" style="14" customWidth="1"/>
    <col min="6929" max="6929" width="12.5703125" style="14" customWidth="1"/>
    <col min="6930" max="6930" width="23" style="14" customWidth="1"/>
    <col min="6931" max="6931" width="11" style="14" customWidth="1"/>
    <col min="6932" max="6932" width="0" style="14" hidden="1" customWidth="1"/>
    <col min="6933" max="6933" width="1.42578125" style="14" customWidth="1"/>
    <col min="6934" max="6934" width="1.7109375" style="14" customWidth="1"/>
    <col min="6935" max="7168" width="9.140625" style="14"/>
    <col min="7169" max="7169" width="3" style="14" customWidth="1"/>
    <col min="7170" max="7170" width="2" style="14" customWidth="1"/>
    <col min="7171" max="7172" width="10" style="14" customWidth="1"/>
    <col min="7173" max="7173" width="0.28515625" style="14" customWidth="1"/>
    <col min="7174" max="7174" width="21.85546875" style="14" customWidth="1"/>
    <col min="7175" max="7175" width="0" style="14" hidden="1" customWidth="1"/>
    <col min="7176" max="7176" width="10" style="14" customWidth="1"/>
    <col min="7177" max="7178" width="0" style="14" hidden="1" customWidth="1"/>
    <col min="7179" max="7179" width="11.7109375" style="14" customWidth="1"/>
    <col min="7180" max="7180" width="1.140625" style="14" customWidth="1"/>
    <col min="7181" max="7181" width="2.140625" style="14" customWidth="1"/>
    <col min="7182" max="7182" width="8.85546875" style="14" customWidth="1"/>
    <col min="7183" max="7183" width="7.85546875" style="14" customWidth="1"/>
    <col min="7184" max="7184" width="3.5703125" style="14" customWidth="1"/>
    <col min="7185" max="7185" width="12.5703125" style="14" customWidth="1"/>
    <col min="7186" max="7186" width="23" style="14" customWidth="1"/>
    <col min="7187" max="7187" width="11" style="14" customWidth="1"/>
    <col min="7188" max="7188" width="0" style="14" hidden="1" customWidth="1"/>
    <col min="7189" max="7189" width="1.42578125" style="14" customWidth="1"/>
    <col min="7190" max="7190" width="1.7109375" style="14" customWidth="1"/>
    <col min="7191" max="7424" width="9.140625" style="14"/>
    <col min="7425" max="7425" width="3" style="14" customWidth="1"/>
    <col min="7426" max="7426" width="2" style="14" customWidth="1"/>
    <col min="7427" max="7428" width="10" style="14" customWidth="1"/>
    <col min="7429" max="7429" width="0.28515625" style="14" customWidth="1"/>
    <col min="7430" max="7430" width="21.85546875" style="14" customWidth="1"/>
    <col min="7431" max="7431" width="0" style="14" hidden="1" customWidth="1"/>
    <col min="7432" max="7432" width="10" style="14" customWidth="1"/>
    <col min="7433" max="7434" width="0" style="14" hidden="1" customWidth="1"/>
    <col min="7435" max="7435" width="11.7109375" style="14" customWidth="1"/>
    <col min="7436" max="7436" width="1.140625" style="14" customWidth="1"/>
    <col min="7437" max="7437" width="2.140625" style="14" customWidth="1"/>
    <col min="7438" max="7438" width="8.85546875" style="14" customWidth="1"/>
    <col min="7439" max="7439" width="7.85546875" style="14" customWidth="1"/>
    <col min="7440" max="7440" width="3.5703125" style="14" customWidth="1"/>
    <col min="7441" max="7441" width="12.5703125" style="14" customWidth="1"/>
    <col min="7442" max="7442" width="23" style="14" customWidth="1"/>
    <col min="7443" max="7443" width="11" style="14" customWidth="1"/>
    <col min="7444" max="7444" width="0" style="14" hidden="1" customWidth="1"/>
    <col min="7445" max="7445" width="1.42578125" style="14" customWidth="1"/>
    <col min="7446" max="7446" width="1.7109375" style="14" customWidth="1"/>
    <col min="7447" max="7680" width="9.140625" style="14"/>
    <col min="7681" max="7681" width="3" style="14" customWidth="1"/>
    <col min="7682" max="7682" width="2" style="14" customWidth="1"/>
    <col min="7683" max="7684" width="10" style="14" customWidth="1"/>
    <col min="7685" max="7685" width="0.28515625" style="14" customWidth="1"/>
    <col min="7686" max="7686" width="21.85546875" style="14" customWidth="1"/>
    <col min="7687" max="7687" width="0" style="14" hidden="1" customWidth="1"/>
    <col min="7688" max="7688" width="10" style="14" customWidth="1"/>
    <col min="7689" max="7690" width="0" style="14" hidden="1" customWidth="1"/>
    <col min="7691" max="7691" width="11.7109375" style="14" customWidth="1"/>
    <col min="7692" max="7692" width="1.140625" style="14" customWidth="1"/>
    <col min="7693" max="7693" width="2.140625" style="14" customWidth="1"/>
    <col min="7694" max="7694" width="8.85546875" style="14" customWidth="1"/>
    <col min="7695" max="7695" width="7.85546875" style="14" customWidth="1"/>
    <col min="7696" max="7696" width="3.5703125" style="14" customWidth="1"/>
    <col min="7697" max="7697" width="12.5703125" style="14" customWidth="1"/>
    <col min="7698" max="7698" width="23" style="14" customWidth="1"/>
    <col min="7699" max="7699" width="11" style="14" customWidth="1"/>
    <col min="7700" max="7700" width="0" style="14" hidden="1" customWidth="1"/>
    <col min="7701" max="7701" width="1.42578125" style="14" customWidth="1"/>
    <col min="7702" max="7702" width="1.7109375" style="14" customWidth="1"/>
    <col min="7703" max="7936" width="9.140625" style="14"/>
    <col min="7937" max="7937" width="3" style="14" customWidth="1"/>
    <col min="7938" max="7938" width="2" style="14" customWidth="1"/>
    <col min="7939" max="7940" width="10" style="14" customWidth="1"/>
    <col min="7941" max="7941" width="0.28515625" style="14" customWidth="1"/>
    <col min="7942" max="7942" width="21.85546875" style="14" customWidth="1"/>
    <col min="7943" max="7943" width="0" style="14" hidden="1" customWidth="1"/>
    <col min="7944" max="7944" width="10" style="14" customWidth="1"/>
    <col min="7945" max="7946" width="0" style="14" hidden="1" customWidth="1"/>
    <col min="7947" max="7947" width="11.7109375" style="14" customWidth="1"/>
    <col min="7948" max="7948" width="1.140625" style="14" customWidth="1"/>
    <col min="7949" max="7949" width="2.140625" style="14" customWidth="1"/>
    <col min="7950" max="7950" width="8.85546875" style="14" customWidth="1"/>
    <col min="7951" max="7951" width="7.85546875" style="14" customWidth="1"/>
    <col min="7952" max="7952" width="3.5703125" style="14" customWidth="1"/>
    <col min="7953" max="7953" width="12.5703125" style="14" customWidth="1"/>
    <col min="7954" max="7954" width="23" style="14" customWidth="1"/>
    <col min="7955" max="7955" width="11" style="14" customWidth="1"/>
    <col min="7956" max="7956" width="0" style="14" hidden="1" customWidth="1"/>
    <col min="7957" max="7957" width="1.42578125" style="14" customWidth="1"/>
    <col min="7958" max="7958" width="1.7109375" style="14" customWidth="1"/>
    <col min="7959" max="8192" width="9.140625" style="14"/>
    <col min="8193" max="8193" width="3" style="14" customWidth="1"/>
    <col min="8194" max="8194" width="2" style="14" customWidth="1"/>
    <col min="8195" max="8196" width="10" style="14" customWidth="1"/>
    <col min="8197" max="8197" width="0.28515625" style="14" customWidth="1"/>
    <col min="8198" max="8198" width="21.85546875" style="14" customWidth="1"/>
    <col min="8199" max="8199" width="0" style="14" hidden="1" customWidth="1"/>
    <col min="8200" max="8200" width="10" style="14" customWidth="1"/>
    <col min="8201" max="8202" width="0" style="14" hidden="1" customWidth="1"/>
    <col min="8203" max="8203" width="11.7109375" style="14" customWidth="1"/>
    <col min="8204" max="8204" width="1.140625" style="14" customWidth="1"/>
    <col min="8205" max="8205" width="2.140625" style="14" customWidth="1"/>
    <col min="8206" max="8206" width="8.85546875" style="14" customWidth="1"/>
    <col min="8207" max="8207" width="7.85546875" style="14" customWidth="1"/>
    <col min="8208" max="8208" width="3.5703125" style="14" customWidth="1"/>
    <col min="8209" max="8209" width="12.5703125" style="14" customWidth="1"/>
    <col min="8210" max="8210" width="23" style="14" customWidth="1"/>
    <col min="8211" max="8211" width="11" style="14" customWidth="1"/>
    <col min="8212" max="8212" width="0" style="14" hidden="1" customWidth="1"/>
    <col min="8213" max="8213" width="1.42578125" style="14" customWidth="1"/>
    <col min="8214" max="8214" width="1.7109375" style="14" customWidth="1"/>
    <col min="8215" max="8448" width="9.140625" style="14"/>
    <col min="8449" max="8449" width="3" style="14" customWidth="1"/>
    <col min="8450" max="8450" width="2" style="14" customWidth="1"/>
    <col min="8451" max="8452" width="10" style="14" customWidth="1"/>
    <col min="8453" max="8453" width="0.28515625" style="14" customWidth="1"/>
    <col min="8454" max="8454" width="21.85546875" style="14" customWidth="1"/>
    <col min="8455" max="8455" width="0" style="14" hidden="1" customWidth="1"/>
    <col min="8456" max="8456" width="10" style="14" customWidth="1"/>
    <col min="8457" max="8458" width="0" style="14" hidden="1" customWidth="1"/>
    <col min="8459" max="8459" width="11.7109375" style="14" customWidth="1"/>
    <col min="8460" max="8460" width="1.140625" style="14" customWidth="1"/>
    <col min="8461" max="8461" width="2.140625" style="14" customWidth="1"/>
    <col min="8462" max="8462" width="8.85546875" style="14" customWidth="1"/>
    <col min="8463" max="8463" width="7.85546875" style="14" customWidth="1"/>
    <col min="8464" max="8464" width="3.5703125" style="14" customWidth="1"/>
    <col min="8465" max="8465" width="12.5703125" style="14" customWidth="1"/>
    <col min="8466" max="8466" width="23" style="14" customWidth="1"/>
    <col min="8467" max="8467" width="11" style="14" customWidth="1"/>
    <col min="8468" max="8468" width="0" style="14" hidden="1" customWidth="1"/>
    <col min="8469" max="8469" width="1.42578125" style="14" customWidth="1"/>
    <col min="8470" max="8470" width="1.7109375" style="14" customWidth="1"/>
    <col min="8471" max="8704" width="9.140625" style="14"/>
    <col min="8705" max="8705" width="3" style="14" customWidth="1"/>
    <col min="8706" max="8706" width="2" style="14" customWidth="1"/>
    <col min="8707" max="8708" width="10" style="14" customWidth="1"/>
    <col min="8709" max="8709" width="0.28515625" style="14" customWidth="1"/>
    <col min="8710" max="8710" width="21.85546875" style="14" customWidth="1"/>
    <col min="8711" max="8711" width="0" style="14" hidden="1" customWidth="1"/>
    <col min="8712" max="8712" width="10" style="14" customWidth="1"/>
    <col min="8713" max="8714" width="0" style="14" hidden="1" customWidth="1"/>
    <col min="8715" max="8715" width="11.7109375" style="14" customWidth="1"/>
    <col min="8716" max="8716" width="1.140625" style="14" customWidth="1"/>
    <col min="8717" max="8717" width="2.140625" style="14" customWidth="1"/>
    <col min="8718" max="8718" width="8.85546875" style="14" customWidth="1"/>
    <col min="8719" max="8719" width="7.85546875" style="14" customWidth="1"/>
    <col min="8720" max="8720" width="3.5703125" style="14" customWidth="1"/>
    <col min="8721" max="8721" width="12.5703125" style="14" customWidth="1"/>
    <col min="8722" max="8722" width="23" style="14" customWidth="1"/>
    <col min="8723" max="8723" width="11" style="14" customWidth="1"/>
    <col min="8724" max="8724" width="0" style="14" hidden="1" customWidth="1"/>
    <col min="8725" max="8725" width="1.42578125" style="14" customWidth="1"/>
    <col min="8726" max="8726" width="1.7109375" style="14" customWidth="1"/>
    <col min="8727" max="8960" width="9.140625" style="14"/>
    <col min="8961" max="8961" width="3" style="14" customWidth="1"/>
    <col min="8962" max="8962" width="2" style="14" customWidth="1"/>
    <col min="8963" max="8964" width="10" style="14" customWidth="1"/>
    <col min="8965" max="8965" width="0.28515625" style="14" customWidth="1"/>
    <col min="8966" max="8966" width="21.85546875" style="14" customWidth="1"/>
    <col min="8967" max="8967" width="0" style="14" hidden="1" customWidth="1"/>
    <col min="8968" max="8968" width="10" style="14" customWidth="1"/>
    <col min="8969" max="8970" width="0" style="14" hidden="1" customWidth="1"/>
    <col min="8971" max="8971" width="11.7109375" style="14" customWidth="1"/>
    <col min="8972" max="8972" width="1.140625" style="14" customWidth="1"/>
    <col min="8973" max="8973" width="2.140625" style="14" customWidth="1"/>
    <col min="8974" max="8974" width="8.85546875" style="14" customWidth="1"/>
    <col min="8975" max="8975" width="7.85546875" style="14" customWidth="1"/>
    <col min="8976" max="8976" width="3.5703125" style="14" customWidth="1"/>
    <col min="8977" max="8977" width="12.5703125" style="14" customWidth="1"/>
    <col min="8978" max="8978" width="23" style="14" customWidth="1"/>
    <col min="8979" max="8979" width="11" style="14" customWidth="1"/>
    <col min="8980" max="8980" width="0" style="14" hidden="1" customWidth="1"/>
    <col min="8981" max="8981" width="1.42578125" style="14" customWidth="1"/>
    <col min="8982" max="8982" width="1.7109375" style="14" customWidth="1"/>
    <col min="8983" max="9216" width="9.140625" style="14"/>
    <col min="9217" max="9217" width="3" style="14" customWidth="1"/>
    <col min="9218" max="9218" width="2" style="14" customWidth="1"/>
    <col min="9219" max="9220" width="10" style="14" customWidth="1"/>
    <col min="9221" max="9221" width="0.28515625" style="14" customWidth="1"/>
    <col min="9222" max="9222" width="21.85546875" style="14" customWidth="1"/>
    <col min="9223" max="9223" width="0" style="14" hidden="1" customWidth="1"/>
    <col min="9224" max="9224" width="10" style="14" customWidth="1"/>
    <col min="9225" max="9226" width="0" style="14" hidden="1" customWidth="1"/>
    <col min="9227" max="9227" width="11.7109375" style="14" customWidth="1"/>
    <col min="9228" max="9228" width="1.140625" style="14" customWidth="1"/>
    <col min="9229" max="9229" width="2.140625" style="14" customWidth="1"/>
    <col min="9230" max="9230" width="8.85546875" style="14" customWidth="1"/>
    <col min="9231" max="9231" width="7.85546875" style="14" customWidth="1"/>
    <col min="9232" max="9232" width="3.5703125" style="14" customWidth="1"/>
    <col min="9233" max="9233" width="12.5703125" style="14" customWidth="1"/>
    <col min="9234" max="9234" width="23" style="14" customWidth="1"/>
    <col min="9235" max="9235" width="11" style="14" customWidth="1"/>
    <col min="9236" max="9236" width="0" style="14" hidden="1" customWidth="1"/>
    <col min="9237" max="9237" width="1.42578125" style="14" customWidth="1"/>
    <col min="9238" max="9238" width="1.7109375" style="14" customWidth="1"/>
    <col min="9239" max="9472" width="9.140625" style="14"/>
    <col min="9473" max="9473" width="3" style="14" customWidth="1"/>
    <col min="9474" max="9474" width="2" style="14" customWidth="1"/>
    <col min="9475" max="9476" width="10" style="14" customWidth="1"/>
    <col min="9477" max="9477" width="0.28515625" style="14" customWidth="1"/>
    <col min="9478" max="9478" width="21.85546875" style="14" customWidth="1"/>
    <col min="9479" max="9479" width="0" style="14" hidden="1" customWidth="1"/>
    <col min="9480" max="9480" width="10" style="14" customWidth="1"/>
    <col min="9481" max="9482" width="0" style="14" hidden="1" customWidth="1"/>
    <col min="9483" max="9483" width="11.7109375" style="14" customWidth="1"/>
    <col min="9484" max="9484" width="1.140625" style="14" customWidth="1"/>
    <col min="9485" max="9485" width="2.140625" style="14" customWidth="1"/>
    <col min="9486" max="9486" width="8.85546875" style="14" customWidth="1"/>
    <col min="9487" max="9487" width="7.85546875" style="14" customWidth="1"/>
    <col min="9488" max="9488" width="3.5703125" style="14" customWidth="1"/>
    <col min="9489" max="9489" width="12.5703125" style="14" customWidth="1"/>
    <col min="9490" max="9490" width="23" style="14" customWidth="1"/>
    <col min="9491" max="9491" width="11" style="14" customWidth="1"/>
    <col min="9492" max="9492" width="0" style="14" hidden="1" customWidth="1"/>
    <col min="9493" max="9493" width="1.42578125" style="14" customWidth="1"/>
    <col min="9494" max="9494" width="1.7109375" style="14" customWidth="1"/>
    <col min="9495" max="9728" width="9.140625" style="14"/>
    <col min="9729" max="9729" width="3" style="14" customWidth="1"/>
    <col min="9730" max="9730" width="2" style="14" customWidth="1"/>
    <col min="9731" max="9732" width="10" style="14" customWidth="1"/>
    <col min="9733" max="9733" width="0.28515625" style="14" customWidth="1"/>
    <col min="9734" max="9734" width="21.85546875" style="14" customWidth="1"/>
    <col min="9735" max="9735" width="0" style="14" hidden="1" customWidth="1"/>
    <col min="9736" max="9736" width="10" style="14" customWidth="1"/>
    <col min="9737" max="9738" width="0" style="14" hidden="1" customWidth="1"/>
    <col min="9739" max="9739" width="11.7109375" style="14" customWidth="1"/>
    <col min="9740" max="9740" width="1.140625" style="14" customWidth="1"/>
    <col min="9741" max="9741" width="2.140625" style="14" customWidth="1"/>
    <col min="9742" max="9742" width="8.85546875" style="14" customWidth="1"/>
    <col min="9743" max="9743" width="7.85546875" style="14" customWidth="1"/>
    <col min="9744" max="9744" width="3.5703125" style="14" customWidth="1"/>
    <col min="9745" max="9745" width="12.5703125" style="14" customWidth="1"/>
    <col min="9746" max="9746" width="23" style="14" customWidth="1"/>
    <col min="9747" max="9747" width="11" style="14" customWidth="1"/>
    <col min="9748" max="9748" width="0" style="14" hidden="1" customWidth="1"/>
    <col min="9749" max="9749" width="1.42578125" style="14" customWidth="1"/>
    <col min="9750" max="9750" width="1.7109375" style="14" customWidth="1"/>
    <col min="9751" max="9984" width="9.140625" style="14"/>
    <col min="9985" max="9985" width="3" style="14" customWidth="1"/>
    <col min="9986" max="9986" width="2" style="14" customWidth="1"/>
    <col min="9987" max="9988" width="10" style="14" customWidth="1"/>
    <col min="9989" max="9989" width="0.28515625" style="14" customWidth="1"/>
    <col min="9990" max="9990" width="21.85546875" style="14" customWidth="1"/>
    <col min="9991" max="9991" width="0" style="14" hidden="1" customWidth="1"/>
    <col min="9992" max="9992" width="10" style="14" customWidth="1"/>
    <col min="9993" max="9994" width="0" style="14" hidden="1" customWidth="1"/>
    <col min="9995" max="9995" width="11.7109375" style="14" customWidth="1"/>
    <col min="9996" max="9996" width="1.140625" style="14" customWidth="1"/>
    <col min="9997" max="9997" width="2.140625" style="14" customWidth="1"/>
    <col min="9998" max="9998" width="8.85546875" style="14" customWidth="1"/>
    <col min="9999" max="9999" width="7.85546875" style="14" customWidth="1"/>
    <col min="10000" max="10000" width="3.5703125" style="14" customWidth="1"/>
    <col min="10001" max="10001" width="12.5703125" style="14" customWidth="1"/>
    <col min="10002" max="10002" width="23" style="14" customWidth="1"/>
    <col min="10003" max="10003" width="11" style="14" customWidth="1"/>
    <col min="10004" max="10004" width="0" style="14" hidden="1" customWidth="1"/>
    <col min="10005" max="10005" width="1.42578125" style="14" customWidth="1"/>
    <col min="10006" max="10006" width="1.7109375" style="14" customWidth="1"/>
    <col min="10007" max="10240" width="9.140625" style="14"/>
    <col min="10241" max="10241" width="3" style="14" customWidth="1"/>
    <col min="10242" max="10242" width="2" style="14" customWidth="1"/>
    <col min="10243" max="10244" width="10" style="14" customWidth="1"/>
    <col min="10245" max="10245" width="0.28515625" style="14" customWidth="1"/>
    <col min="10246" max="10246" width="21.85546875" style="14" customWidth="1"/>
    <col min="10247" max="10247" width="0" style="14" hidden="1" customWidth="1"/>
    <col min="10248" max="10248" width="10" style="14" customWidth="1"/>
    <col min="10249" max="10250" width="0" style="14" hidden="1" customWidth="1"/>
    <col min="10251" max="10251" width="11.7109375" style="14" customWidth="1"/>
    <col min="10252" max="10252" width="1.140625" style="14" customWidth="1"/>
    <col min="10253" max="10253" width="2.140625" style="14" customWidth="1"/>
    <col min="10254" max="10254" width="8.85546875" style="14" customWidth="1"/>
    <col min="10255" max="10255" width="7.85546875" style="14" customWidth="1"/>
    <col min="10256" max="10256" width="3.5703125" style="14" customWidth="1"/>
    <col min="10257" max="10257" width="12.5703125" style="14" customWidth="1"/>
    <col min="10258" max="10258" width="23" style="14" customWidth="1"/>
    <col min="10259" max="10259" width="11" style="14" customWidth="1"/>
    <col min="10260" max="10260" width="0" style="14" hidden="1" customWidth="1"/>
    <col min="10261" max="10261" width="1.42578125" style="14" customWidth="1"/>
    <col min="10262" max="10262" width="1.7109375" style="14" customWidth="1"/>
    <col min="10263" max="10496" width="9.140625" style="14"/>
    <col min="10497" max="10497" width="3" style="14" customWidth="1"/>
    <col min="10498" max="10498" width="2" style="14" customWidth="1"/>
    <col min="10499" max="10500" width="10" style="14" customWidth="1"/>
    <col min="10501" max="10501" width="0.28515625" style="14" customWidth="1"/>
    <col min="10502" max="10502" width="21.85546875" style="14" customWidth="1"/>
    <col min="10503" max="10503" width="0" style="14" hidden="1" customWidth="1"/>
    <col min="10504" max="10504" width="10" style="14" customWidth="1"/>
    <col min="10505" max="10506" width="0" style="14" hidden="1" customWidth="1"/>
    <col min="10507" max="10507" width="11.7109375" style="14" customWidth="1"/>
    <col min="10508" max="10508" width="1.140625" style="14" customWidth="1"/>
    <col min="10509" max="10509" width="2.140625" style="14" customWidth="1"/>
    <col min="10510" max="10510" width="8.85546875" style="14" customWidth="1"/>
    <col min="10511" max="10511" width="7.85546875" style="14" customWidth="1"/>
    <col min="10512" max="10512" width="3.5703125" style="14" customWidth="1"/>
    <col min="10513" max="10513" width="12.5703125" style="14" customWidth="1"/>
    <col min="10514" max="10514" width="23" style="14" customWidth="1"/>
    <col min="10515" max="10515" width="11" style="14" customWidth="1"/>
    <col min="10516" max="10516" width="0" style="14" hidden="1" customWidth="1"/>
    <col min="10517" max="10517" width="1.42578125" style="14" customWidth="1"/>
    <col min="10518" max="10518" width="1.7109375" style="14" customWidth="1"/>
    <col min="10519" max="10752" width="9.140625" style="14"/>
    <col min="10753" max="10753" width="3" style="14" customWidth="1"/>
    <col min="10754" max="10754" width="2" style="14" customWidth="1"/>
    <col min="10755" max="10756" width="10" style="14" customWidth="1"/>
    <col min="10757" max="10757" width="0.28515625" style="14" customWidth="1"/>
    <col min="10758" max="10758" width="21.85546875" style="14" customWidth="1"/>
    <col min="10759" max="10759" width="0" style="14" hidden="1" customWidth="1"/>
    <col min="10760" max="10760" width="10" style="14" customWidth="1"/>
    <col min="10761" max="10762" width="0" style="14" hidden="1" customWidth="1"/>
    <col min="10763" max="10763" width="11.7109375" style="14" customWidth="1"/>
    <col min="10764" max="10764" width="1.140625" style="14" customWidth="1"/>
    <col min="10765" max="10765" width="2.140625" style="14" customWidth="1"/>
    <col min="10766" max="10766" width="8.85546875" style="14" customWidth="1"/>
    <col min="10767" max="10767" width="7.85546875" style="14" customWidth="1"/>
    <col min="10768" max="10768" width="3.5703125" style="14" customWidth="1"/>
    <col min="10769" max="10769" width="12.5703125" style="14" customWidth="1"/>
    <col min="10770" max="10770" width="23" style="14" customWidth="1"/>
    <col min="10771" max="10771" width="11" style="14" customWidth="1"/>
    <col min="10772" max="10772" width="0" style="14" hidden="1" customWidth="1"/>
    <col min="10773" max="10773" width="1.42578125" style="14" customWidth="1"/>
    <col min="10774" max="10774" width="1.7109375" style="14" customWidth="1"/>
    <col min="10775" max="11008" width="9.140625" style="14"/>
    <col min="11009" max="11009" width="3" style="14" customWidth="1"/>
    <col min="11010" max="11010" width="2" style="14" customWidth="1"/>
    <col min="11011" max="11012" width="10" style="14" customWidth="1"/>
    <col min="11013" max="11013" width="0.28515625" style="14" customWidth="1"/>
    <col min="11014" max="11014" width="21.85546875" style="14" customWidth="1"/>
    <col min="11015" max="11015" width="0" style="14" hidden="1" customWidth="1"/>
    <col min="11016" max="11016" width="10" style="14" customWidth="1"/>
    <col min="11017" max="11018" width="0" style="14" hidden="1" customWidth="1"/>
    <col min="11019" max="11019" width="11.7109375" style="14" customWidth="1"/>
    <col min="11020" max="11020" width="1.140625" style="14" customWidth="1"/>
    <col min="11021" max="11021" width="2.140625" style="14" customWidth="1"/>
    <col min="11022" max="11022" width="8.85546875" style="14" customWidth="1"/>
    <col min="11023" max="11023" width="7.85546875" style="14" customWidth="1"/>
    <col min="11024" max="11024" width="3.5703125" style="14" customWidth="1"/>
    <col min="11025" max="11025" width="12.5703125" style="14" customWidth="1"/>
    <col min="11026" max="11026" width="23" style="14" customWidth="1"/>
    <col min="11027" max="11027" width="11" style="14" customWidth="1"/>
    <col min="11028" max="11028" width="0" style="14" hidden="1" customWidth="1"/>
    <col min="11029" max="11029" width="1.42578125" style="14" customWidth="1"/>
    <col min="11030" max="11030" width="1.7109375" style="14" customWidth="1"/>
    <col min="11031" max="11264" width="9.140625" style="14"/>
    <col min="11265" max="11265" width="3" style="14" customWidth="1"/>
    <col min="11266" max="11266" width="2" style="14" customWidth="1"/>
    <col min="11267" max="11268" width="10" style="14" customWidth="1"/>
    <col min="11269" max="11269" width="0.28515625" style="14" customWidth="1"/>
    <col min="11270" max="11270" width="21.85546875" style="14" customWidth="1"/>
    <col min="11271" max="11271" width="0" style="14" hidden="1" customWidth="1"/>
    <col min="11272" max="11272" width="10" style="14" customWidth="1"/>
    <col min="11273" max="11274" width="0" style="14" hidden="1" customWidth="1"/>
    <col min="11275" max="11275" width="11.7109375" style="14" customWidth="1"/>
    <col min="11276" max="11276" width="1.140625" style="14" customWidth="1"/>
    <col min="11277" max="11277" width="2.140625" style="14" customWidth="1"/>
    <col min="11278" max="11278" width="8.85546875" style="14" customWidth="1"/>
    <col min="11279" max="11279" width="7.85546875" style="14" customWidth="1"/>
    <col min="11280" max="11280" width="3.5703125" style="14" customWidth="1"/>
    <col min="11281" max="11281" width="12.5703125" style="14" customWidth="1"/>
    <col min="11282" max="11282" width="23" style="14" customWidth="1"/>
    <col min="11283" max="11283" width="11" style="14" customWidth="1"/>
    <col min="11284" max="11284" width="0" style="14" hidden="1" customWidth="1"/>
    <col min="11285" max="11285" width="1.42578125" style="14" customWidth="1"/>
    <col min="11286" max="11286" width="1.7109375" style="14" customWidth="1"/>
    <col min="11287" max="11520" width="9.140625" style="14"/>
    <col min="11521" max="11521" width="3" style="14" customWidth="1"/>
    <col min="11522" max="11522" width="2" style="14" customWidth="1"/>
    <col min="11523" max="11524" width="10" style="14" customWidth="1"/>
    <col min="11525" max="11525" width="0.28515625" style="14" customWidth="1"/>
    <col min="11526" max="11526" width="21.85546875" style="14" customWidth="1"/>
    <col min="11527" max="11527" width="0" style="14" hidden="1" customWidth="1"/>
    <col min="11528" max="11528" width="10" style="14" customWidth="1"/>
    <col min="11529" max="11530" width="0" style="14" hidden="1" customWidth="1"/>
    <col min="11531" max="11531" width="11.7109375" style="14" customWidth="1"/>
    <col min="11532" max="11532" width="1.140625" style="14" customWidth="1"/>
    <col min="11533" max="11533" width="2.140625" style="14" customWidth="1"/>
    <col min="11534" max="11534" width="8.85546875" style="14" customWidth="1"/>
    <col min="11535" max="11535" width="7.85546875" style="14" customWidth="1"/>
    <col min="11536" max="11536" width="3.5703125" style="14" customWidth="1"/>
    <col min="11537" max="11537" width="12.5703125" style="14" customWidth="1"/>
    <col min="11538" max="11538" width="23" style="14" customWidth="1"/>
    <col min="11539" max="11539" width="11" style="14" customWidth="1"/>
    <col min="11540" max="11540" width="0" style="14" hidden="1" customWidth="1"/>
    <col min="11541" max="11541" width="1.42578125" style="14" customWidth="1"/>
    <col min="11542" max="11542" width="1.7109375" style="14" customWidth="1"/>
    <col min="11543" max="11776" width="9.140625" style="14"/>
    <col min="11777" max="11777" width="3" style="14" customWidth="1"/>
    <col min="11778" max="11778" width="2" style="14" customWidth="1"/>
    <col min="11779" max="11780" width="10" style="14" customWidth="1"/>
    <col min="11781" max="11781" width="0.28515625" style="14" customWidth="1"/>
    <col min="11782" max="11782" width="21.85546875" style="14" customWidth="1"/>
    <col min="11783" max="11783" width="0" style="14" hidden="1" customWidth="1"/>
    <col min="11784" max="11784" width="10" style="14" customWidth="1"/>
    <col min="11785" max="11786" width="0" style="14" hidden="1" customWidth="1"/>
    <col min="11787" max="11787" width="11.7109375" style="14" customWidth="1"/>
    <col min="11788" max="11788" width="1.140625" style="14" customWidth="1"/>
    <col min="11789" max="11789" width="2.140625" style="14" customWidth="1"/>
    <col min="11790" max="11790" width="8.85546875" style="14" customWidth="1"/>
    <col min="11791" max="11791" width="7.85546875" style="14" customWidth="1"/>
    <col min="11792" max="11792" width="3.5703125" style="14" customWidth="1"/>
    <col min="11793" max="11793" width="12.5703125" style="14" customWidth="1"/>
    <col min="11794" max="11794" width="23" style="14" customWidth="1"/>
    <col min="11795" max="11795" width="11" style="14" customWidth="1"/>
    <col min="11796" max="11796" width="0" style="14" hidden="1" customWidth="1"/>
    <col min="11797" max="11797" width="1.42578125" style="14" customWidth="1"/>
    <col min="11798" max="11798" width="1.7109375" style="14" customWidth="1"/>
    <col min="11799" max="12032" width="9.140625" style="14"/>
    <col min="12033" max="12033" width="3" style="14" customWidth="1"/>
    <col min="12034" max="12034" width="2" style="14" customWidth="1"/>
    <col min="12035" max="12036" width="10" style="14" customWidth="1"/>
    <col min="12037" max="12037" width="0.28515625" style="14" customWidth="1"/>
    <col min="12038" max="12038" width="21.85546875" style="14" customWidth="1"/>
    <col min="12039" max="12039" width="0" style="14" hidden="1" customWidth="1"/>
    <col min="12040" max="12040" width="10" style="14" customWidth="1"/>
    <col min="12041" max="12042" width="0" style="14" hidden="1" customWidth="1"/>
    <col min="12043" max="12043" width="11.7109375" style="14" customWidth="1"/>
    <col min="12044" max="12044" width="1.140625" style="14" customWidth="1"/>
    <col min="12045" max="12045" width="2.140625" style="14" customWidth="1"/>
    <col min="12046" max="12046" width="8.85546875" style="14" customWidth="1"/>
    <col min="12047" max="12047" width="7.85546875" style="14" customWidth="1"/>
    <col min="12048" max="12048" width="3.5703125" style="14" customWidth="1"/>
    <col min="12049" max="12049" width="12.5703125" style="14" customWidth="1"/>
    <col min="12050" max="12050" width="23" style="14" customWidth="1"/>
    <col min="12051" max="12051" width="11" style="14" customWidth="1"/>
    <col min="12052" max="12052" width="0" style="14" hidden="1" customWidth="1"/>
    <col min="12053" max="12053" width="1.42578125" style="14" customWidth="1"/>
    <col min="12054" max="12054" width="1.7109375" style="14" customWidth="1"/>
    <col min="12055" max="12288" width="9.140625" style="14"/>
    <col min="12289" max="12289" width="3" style="14" customWidth="1"/>
    <col min="12290" max="12290" width="2" style="14" customWidth="1"/>
    <col min="12291" max="12292" width="10" style="14" customWidth="1"/>
    <col min="12293" max="12293" width="0.28515625" style="14" customWidth="1"/>
    <col min="12294" max="12294" width="21.85546875" style="14" customWidth="1"/>
    <col min="12295" max="12295" width="0" style="14" hidden="1" customWidth="1"/>
    <col min="12296" max="12296" width="10" style="14" customWidth="1"/>
    <col min="12297" max="12298" width="0" style="14" hidden="1" customWidth="1"/>
    <col min="12299" max="12299" width="11.7109375" style="14" customWidth="1"/>
    <col min="12300" max="12300" width="1.140625" style="14" customWidth="1"/>
    <col min="12301" max="12301" width="2.140625" style="14" customWidth="1"/>
    <col min="12302" max="12302" width="8.85546875" style="14" customWidth="1"/>
    <col min="12303" max="12303" width="7.85546875" style="14" customWidth="1"/>
    <col min="12304" max="12304" width="3.5703125" style="14" customWidth="1"/>
    <col min="12305" max="12305" width="12.5703125" style="14" customWidth="1"/>
    <col min="12306" max="12306" width="23" style="14" customWidth="1"/>
    <col min="12307" max="12307" width="11" style="14" customWidth="1"/>
    <col min="12308" max="12308" width="0" style="14" hidden="1" customWidth="1"/>
    <col min="12309" max="12309" width="1.42578125" style="14" customWidth="1"/>
    <col min="12310" max="12310" width="1.7109375" style="14" customWidth="1"/>
    <col min="12311" max="12544" width="9.140625" style="14"/>
    <col min="12545" max="12545" width="3" style="14" customWidth="1"/>
    <col min="12546" max="12546" width="2" style="14" customWidth="1"/>
    <col min="12547" max="12548" width="10" style="14" customWidth="1"/>
    <col min="12549" max="12549" width="0.28515625" style="14" customWidth="1"/>
    <col min="12550" max="12550" width="21.85546875" style="14" customWidth="1"/>
    <col min="12551" max="12551" width="0" style="14" hidden="1" customWidth="1"/>
    <col min="12552" max="12552" width="10" style="14" customWidth="1"/>
    <col min="12553" max="12554" width="0" style="14" hidden="1" customWidth="1"/>
    <col min="12555" max="12555" width="11.7109375" style="14" customWidth="1"/>
    <col min="12556" max="12556" width="1.140625" style="14" customWidth="1"/>
    <col min="12557" max="12557" width="2.140625" style="14" customWidth="1"/>
    <col min="12558" max="12558" width="8.85546875" style="14" customWidth="1"/>
    <col min="12559" max="12559" width="7.85546875" style="14" customWidth="1"/>
    <col min="12560" max="12560" width="3.5703125" style="14" customWidth="1"/>
    <col min="12561" max="12561" width="12.5703125" style="14" customWidth="1"/>
    <col min="12562" max="12562" width="23" style="14" customWidth="1"/>
    <col min="12563" max="12563" width="11" style="14" customWidth="1"/>
    <col min="12564" max="12564" width="0" style="14" hidden="1" customWidth="1"/>
    <col min="12565" max="12565" width="1.42578125" style="14" customWidth="1"/>
    <col min="12566" max="12566" width="1.7109375" style="14" customWidth="1"/>
    <col min="12567" max="12800" width="9.140625" style="14"/>
    <col min="12801" max="12801" width="3" style="14" customWidth="1"/>
    <col min="12802" max="12802" width="2" style="14" customWidth="1"/>
    <col min="12803" max="12804" width="10" style="14" customWidth="1"/>
    <col min="12805" max="12805" width="0.28515625" style="14" customWidth="1"/>
    <col min="12806" max="12806" width="21.85546875" style="14" customWidth="1"/>
    <col min="12807" max="12807" width="0" style="14" hidden="1" customWidth="1"/>
    <col min="12808" max="12808" width="10" style="14" customWidth="1"/>
    <col min="12809" max="12810" width="0" style="14" hidden="1" customWidth="1"/>
    <col min="12811" max="12811" width="11.7109375" style="14" customWidth="1"/>
    <col min="12812" max="12812" width="1.140625" style="14" customWidth="1"/>
    <col min="12813" max="12813" width="2.140625" style="14" customWidth="1"/>
    <col min="12814" max="12814" width="8.85546875" style="14" customWidth="1"/>
    <col min="12815" max="12815" width="7.85546875" style="14" customWidth="1"/>
    <col min="12816" max="12816" width="3.5703125" style="14" customWidth="1"/>
    <col min="12817" max="12817" width="12.5703125" style="14" customWidth="1"/>
    <col min="12818" max="12818" width="23" style="14" customWidth="1"/>
    <col min="12819" max="12819" width="11" style="14" customWidth="1"/>
    <col min="12820" max="12820" width="0" style="14" hidden="1" customWidth="1"/>
    <col min="12821" max="12821" width="1.42578125" style="14" customWidth="1"/>
    <col min="12822" max="12822" width="1.7109375" style="14" customWidth="1"/>
    <col min="12823" max="13056" width="9.140625" style="14"/>
    <col min="13057" max="13057" width="3" style="14" customWidth="1"/>
    <col min="13058" max="13058" width="2" style="14" customWidth="1"/>
    <col min="13059" max="13060" width="10" style="14" customWidth="1"/>
    <col min="13061" max="13061" width="0.28515625" style="14" customWidth="1"/>
    <col min="13062" max="13062" width="21.85546875" style="14" customWidth="1"/>
    <col min="13063" max="13063" width="0" style="14" hidden="1" customWidth="1"/>
    <col min="13064" max="13064" width="10" style="14" customWidth="1"/>
    <col min="13065" max="13066" width="0" style="14" hidden="1" customWidth="1"/>
    <col min="13067" max="13067" width="11.7109375" style="14" customWidth="1"/>
    <col min="13068" max="13068" width="1.140625" style="14" customWidth="1"/>
    <col min="13069" max="13069" width="2.140625" style="14" customWidth="1"/>
    <col min="13070" max="13070" width="8.85546875" style="14" customWidth="1"/>
    <col min="13071" max="13071" width="7.85546875" style="14" customWidth="1"/>
    <col min="13072" max="13072" width="3.5703125" style="14" customWidth="1"/>
    <col min="13073" max="13073" width="12.5703125" style="14" customWidth="1"/>
    <col min="13074" max="13074" width="23" style="14" customWidth="1"/>
    <col min="13075" max="13075" width="11" style="14" customWidth="1"/>
    <col min="13076" max="13076" width="0" style="14" hidden="1" customWidth="1"/>
    <col min="13077" max="13077" width="1.42578125" style="14" customWidth="1"/>
    <col min="13078" max="13078" width="1.7109375" style="14" customWidth="1"/>
    <col min="13079" max="13312" width="9.140625" style="14"/>
    <col min="13313" max="13313" width="3" style="14" customWidth="1"/>
    <col min="13314" max="13314" width="2" style="14" customWidth="1"/>
    <col min="13315" max="13316" width="10" style="14" customWidth="1"/>
    <col min="13317" max="13317" width="0.28515625" style="14" customWidth="1"/>
    <col min="13318" max="13318" width="21.85546875" style="14" customWidth="1"/>
    <col min="13319" max="13319" width="0" style="14" hidden="1" customWidth="1"/>
    <col min="13320" max="13320" width="10" style="14" customWidth="1"/>
    <col min="13321" max="13322" width="0" style="14" hidden="1" customWidth="1"/>
    <col min="13323" max="13323" width="11.7109375" style="14" customWidth="1"/>
    <col min="13324" max="13324" width="1.140625" style="14" customWidth="1"/>
    <col min="13325" max="13325" width="2.140625" style="14" customWidth="1"/>
    <col min="13326" max="13326" width="8.85546875" style="14" customWidth="1"/>
    <col min="13327" max="13327" width="7.85546875" style="14" customWidth="1"/>
    <col min="13328" max="13328" width="3.5703125" style="14" customWidth="1"/>
    <col min="13329" max="13329" width="12.5703125" style="14" customWidth="1"/>
    <col min="13330" max="13330" width="23" style="14" customWidth="1"/>
    <col min="13331" max="13331" width="11" style="14" customWidth="1"/>
    <col min="13332" max="13332" width="0" style="14" hidden="1" customWidth="1"/>
    <col min="13333" max="13333" width="1.42578125" style="14" customWidth="1"/>
    <col min="13334" max="13334" width="1.7109375" style="14" customWidth="1"/>
    <col min="13335" max="13568" width="9.140625" style="14"/>
    <col min="13569" max="13569" width="3" style="14" customWidth="1"/>
    <col min="13570" max="13570" width="2" style="14" customWidth="1"/>
    <col min="13571" max="13572" width="10" style="14" customWidth="1"/>
    <col min="13573" max="13573" width="0.28515625" style="14" customWidth="1"/>
    <col min="13574" max="13574" width="21.85546875" style="14" customWidth="1"/>
    <col min="13575" max="13575" width="0" style="14" hidden="1" customWidth="1"/>
    <col min="13576" max="13576" width="10" style="14" customWidth="1"/>
    <col min="13577" max="13578" width="0" style="14" hidden="1" customWidth="1"/>
    <col min="13579" max="13579" width="11.7109375" style="14" customWidth="1"/>
    <col min="13580" max="13580" width="1.140625" style="14" customWidth="1"/>
    <col min="13581" max="13581" width="2.140625" style="14" customWidth="1"/>
    <col min="13582" max="13582" width="8.85546875" style="14" customWidth="1"/>
    <col min="13583" max="13583" width="7.85546875" style="14" customWidth="1"/>
    <col min="13584" max="13584" width="3.5703125" style="14" customWidth="1"/>
    <col min="13585" max="13585" width="12.5703125" style="14" customWidth="1"/>
    <col min="13586" max="13586" width="23" style="14" customWidth="1"/>
    <col min="13587" max="13587" width="11" style="14" customWidth="1"/>
    <col min="13588" max="13588" width="0" style="14" hidden="1" customWidth="1"/>
    <col min="13589" max="13589" width="1.42578125" style="14" customWidth="1"/>
    <col min="13590" max="13590" width="1.7109375" style="14" customWidth="1"/>
    <col min="13591" max="13824" width="9.140625" style="14"/>
    <col min="13825" max="13825" width="3" style="14" customWidth="1"/>
    <col min="13826" max="13826" width="2" style="14" customWidth="1"/>
    <col min="13827" max="13828" width="10" style="14" customWidth="1"/>
    <col min="13829" max="13829" width="0.28515625" style="14" customWidth="1"/>
    <col min="13830" max="13830" width="21.85546875" style="14" customWidth="1"/>
    <col min="13831" max="13831" width="0" style="14" hidden="1" customWidth="1"/>
    <col min="13832" max="13832" width="10" style="14" customWidth="1"/>
    <col min="13833" max="13834" width="0" style="14" hidden="1" customWidth="1"/>
    <col min="13835" max="13835" width="11.7109375" style="14" customWidth="1"/>
    <col min="13836" max="13836" width="1.140625" style="14" customWidth="1"/>
    <col min="13837" max="13837" width="2.140625" style="14" customWidth="1"/>
    <col min="13838" max="13838" width="8.85546875" style="14" customWidth="1"/>
    <col min="13839" max="13839" width="7.85546875" style="14" customWidth="1"/>
    <col min="13840" max="13840" width="3.5703125" style="14" customWidth="1"/>
    <col min="13841" max="13841" width="12.5703125" style="14" customWidth="1"/>
    <col min="13842" max="13842" width="23" style="14" customWidth="1"/>
    <col min="13843" max="13843" width="11" style="14" customWidth="1"/>
    <col min="13844" max="13844" width="0" style="14" hidden="1" customWidth="1"/>
    <col min="13845" max="13845" width="1.42578125" style="14" customWidth="1"/>
    <col min="13846" max="13846" width="1.7109375" style="14" customWidth="1"/>
    <col min="13847" max="14080" width="9.140625" style="14"/>
    <col min="14081" max="14081" width="3" style="14" customWidth="1"/>
    <col min="14082" max="14082" width="2" style="14" customWidth="1"/>
    <col min="14083" max="14084" width="10" style="14" customWidth="1"/>
    <col min="14085" max="14085" width="0.28515625" style="14" customWidth="1"/>
    <col min="14086" max="14086" width="21.85546875" style="14" customWidth="1"/>
    <col min="14087" max="14087" width="0" style="14" hidden="1" customWidth="1"/>
    <col min="14088" max="14088" width="10" style="14" customWidth="1"/>
    <col min="14089" max="14090" width="0" style="14" hidden="1" customWidth="1"/>
    <col min="14091" max="14091" width="11.7109375" style="14" customWidth="1"/>
    <col min="14092" max="14092" width="1.140625" style="14" customWidth="1"/>
    <col min="14093" max="14093" width="2.140625" style="14" customWidth="1"/>
    <col min="14094" max="14094" width="8.85546875" style="14" customWidth="1"/>
    <col min="14095" max="14095" width="7.85546875" style="14" customWidth="1"/>
    <col min="14096" max="14096" width="3.5703125" style="14" customWidth="1"/>
    <col min="14097" max="14097" width="12.5703125" style="14" customWidth="1"/>
    <col min="14098" max="14098" width="23" style="14" customWidth="1"/>
    <col min="14099" max="14099" width="11" style="14" customWidth="1"/>
    <col min="14100" max="14100" width="0" style="14" hidden="1" customWidth="1"/>
    <col min="14101" max="14101" width="1.42578125" style="14" customWidth="1"/>
    <col min="14102" max="14102" width="1.7109375" style="14" customWidth="1"/>
    <col min="14103" max="14336" width="9.140625" style="14"/>
    <col min="14337" max="14337" width="3" style="14" customWidth="1"/>
    <col min="14338" max="14338" width="2" style="14" customWidth="1"/>
    <col min="14339" max="14340" width="10" style="14" customWidth="1"/>
    <col min="14341" max="14341" width="0.28515625" style="14" customWidth="1"/>
    <col min="14342" max="14342" width="21.85546875" style="14" customWidth="1"/>
    <col min="14343" max="14343" width="0" style="14" hidden="1" customWidth="1"/>
    <col min="14344" max="14344" width="10" style="14" customWidth="1"/>
    <col min="14345" max="14346" width="0" style="14" hidden="1" customWidth="1"/>
    <col min="14347" max="14347" width="11.7109375" style="14" customWidth="1"/>
    <col min="14348" max="14348" width="1.140625" style="14" customWidth="1"/>
    <col min="14349" max="14349" width="2.140625" style="14" customWidth="1"/>
    <col min="14350" max="14350" width="8.85546875" style="14" customWidth="1"/>
    <col min="14351" max="14351" width="7.85546875" style="14" customWidth="1"/>
    <col min="14352" max="14352" width="3.5703125" style="14" customWidth="1"/>
    <col min="14353" max="14353" width="12.5703125" style="14" customWidth="1"/>
    <col min="14354" max="14354" width="23" style="14" customWidth="1"/>
    <col min="14355" max="14355" width="11" style="14" customWidth="1"/>
    <col min="14356" max="14356" width="0" style="14" hidden="1" customWidth="1"/>
    <col min="14357" max="14357" width="1.42578125" style="14" customWidth="1"/>
    <col min="14358" max="14358" width="1.7109375" style="14" customWidth="1"/>
    <col min="14359" max="14592" width="9.140625" style="14"/>
    <col min="14593" max="14593" width="3" style="14" customWidth="1"/>
    <col min="14594" max="14594" width="2" style="14" customWidth="1"/>
    <col min="14595" max="14596" width="10" style="14" customWidth="1"/>
    <col min="14597" max="14597" width="0.28515625" style="14" customWidth="1"/>
    <col min="14598" max="14598" width="21.85546875" style="14" customWidth="1"/>
    <col min="14599" max="14599" width="0" style="14" hidden="1" customWidth="1"/>
    <col min="14600" max="14600" width="10" style="14" customWidth="1"/>
    <col min="14601" max="14602" width="0" style="14" hidden="1" customWidth="1"/>
    <col min="14603" max="14603" width="11.7109375" style="14" customWidth="1"/>
    <col min="14604" max="14604" width="1.140625" style="14" customWidth="1"/>
    <col min="14605" max="14605" width="2.140625" style="14" customWidth="1"/>
    <col min="14606" max="14606" width="8.85546875" style="14" customWidth="1"/>
    <col min="14607" max="14607" width="7.85546875" style="14" customWidth="1"/>
    <col min="14608" max="14608" width="3.5703125" style="14" customWidth="1"/>
    <col min="14609" max="14609" width="12.5703125" style="14" customWidth="1"/>
    <col min="14610" max="14610" width="23" style="14" customWidth="1"/>
    <col min="14611" max="14611" width="11" style="14" customWidth="1"/>
    <col min="14612" max="14612" width="0" style="14" hidden="1" customWidth="1"/>
    <col min="14613" max="14613" width="1.42578125" style="14" customWidth="1"/>
    <col min="14614" max="14614" width="1.7109375" style="14" customWidth="1"/>
    <col min="14615" max="14848" width="9.140625" style="14"/>
    <col min="14849" max="14849" width="3" style="14" customWidth="1"/>
    <col min="14850" max="14850" width="2" style="14" customWidth="1"/>
    <col min="14851" max="14852" width="10" style="14" customWidth="1"/>
    <col min="14853" max="14853" width="0.28515625" style="14" customWidth="1"/>
    <col min="14854" max="14854" width="21.85546875" style="14" customWidth="1"/>
    <col min="14855" max="14855" width="0" style="14" hidden="1" customWidth="1"/>
    <col min="14856" max="14856" width="10" style="14" customWidth="1"/>
    <col min="14857" max="14858" width="0" style="14" hidden="1" customWidth="1"/>
    <col min="14859" max="14859" width="11.7109375" style="14" customWidth="1"/>
    <col min="14860" max="14860" width="1.140625" style="14" customWidth="1"/>
    <col min="14861" max="14861" width="2.140625" style="14" customWidth="1"/>
    <col min="14862" max="14862" width="8.85546875" style="14" customWidth="1"/>
    <col min="14863" max="14863" width="7.85546875" style="14" customWidth="1"/>
    <col min="14864" max="14864" width="3.5703125" style="14" customWidth="1"/>
    <col min="14865" max="14865" width="12.5703125" style="14" customWidth="1"/>
    <col min="14866" max="14866" width="23" style="14" customWidth="1"/>
    <col min="14867" max="14867" width="11" style="14" customWidth="1"/>
    <col min="14868" max="14868" width="0" style="14" hidden="1" customWidth="1"/>
    <col min="14869" max="14869" width="1.42578125" style="14" customWidth="1"/>
    <col min="14870" max="14870" width="1.7109375" style="14" customWidth="1"/>
    <col min="14871" max="15104" width="9.140625" style="14"/>
    <col min="15105" max="15105" width="3" style="14" customWidth="1"/>
    <col min="15106" max="15106" width="2" style="14" customWidth="1"/>
    <col min="15107" max="15108" width="10" style="14" customWidth="1"/>
    <col min="15109" max="15109" width="0.28515625" style="14" customWidth="1"/>
    <col min="15110" max="15110" width="21.85546875" style="14" customWidth="1"/>
    <col min="15111" max="15111" width="0" style="14" hidden="1" customWidth="1"/>
    <col min="15112" max="15112" width="10" style="14" customWidth="1"/>
    <col min="15113" max="15114" width="0" style="14" hidden="1" customWidth="1"/>
    <col min="15115" max="15115" width="11.7109375" style="14" customWidth="1"/>
    <col min="15116" max="15116" width="1.140625" style="14" customWidth="1"/>
    <col min="15117" max="15117" width="2.140625" style="14" customWidth="1"/>
    <col min="15118" max="15118" width="8.85546875" style="14" customWidth="1"/>
    <col min="15119" max="15119" width="7.85546875" style="14" customWidth="1"/>
    <col min="15120" max="15120" width="3.5703125" style="14" customWidth="1"/>
    <col min="15121" max="15121" width="12.5703125" style="14" customWidth="1"/>
    <col min="15122" max="15122" width="23" style="14" customWidth="1"/>
    <col min="15123" max="15123" width="11" style="14" customWidth="1"/>
    <col min="15124" max="15124" width="0" style="14" hidden="1" customWidth="1"/>
    <col min="15125" max="15125" width="1.42578125" style="14" customWidth="1"/>
    <col min="15126" max="15126" width="1.7109375" style="14" customWidth="1"/>
    <col min="15127" max="15360" width="9.140625" style="14"/>
    <col min="15361" max="15361" width="3" style="14" customWidth="1"/>
    <col min="15362" max="15362" width="2" style="14" customWidth="1"/>
    <col min="15363" max="15364" width="10" style="14" customWidth="1"/>
    <col min="15365" max="15365" width="0.28515625" style="14" customWidth="1"/>
    <col min="15366" max="15366" width="21.85546875" style="14" customWidth="1"/>
    <col min="15367" max="15367" width="0" style="14" hidden="1" customWidth="1"/>
    <col min="15368" max="15368" width="10" style="14" customWidth="1"/>
    <col min="15369" max="15370" width="0" style="14" hidden="1" customWidth="1"/>
    <col min="15371" max="15371" width="11.7109375" style="14" customWidth="1"/>
    <col min="15372" max="15372" width="1.140625" style="14" customWidth="1"/>
    <col min="15373" max="15373" width="2.140625" style="14" customWidth="1"/>
    <col min="15374" max="15374" width="8.85546875" style="14" customWidth="1"/>
    <col min="15375" max="15375" width="7.85546875" style="14" customWidth="1"/>
    <col min="15376" max="15376" width="3.5703125" style="14" customWidth="1"/>
    <col min="15377" max="15377" width="12.5703125" style="14" customWidth="1"/>
    <col min="15378" max="15378" width="23" style="14" customWidth="1"/>
    <col min="15379" max="15379" width="11" style="14" customWidth="1"/>
    <col min="15380" max="15380" width="0" style="14" hidden="1" customWidth="1"/>
    <col min="15381" max="15381" width="1.42578125" style="14" customWidth="1"/>
    <col min="15382" max="15382" width="1.7109375" style="14" customWidth="1"/>
    <col min="15383" max="15616" width="9.140625" style="14"/>
    <col min="15617" max="15617" width="3" style="14" customWidth="1"/>
    <col min="15618" max="15618" width="2" style="14" customWidth="1"/>
    <col min="15619" max="15620" width="10" style="14" customWidth="1"/>
    <col min="15621" max="15621" width="0.28515625" style="14" customWidth="1"/>
    <col min="15622" max="15622" width="21.85546875" style="14" customWidth="1"/>
    <col min="15623" max="15623" width="0" style="14" hidden="1" customWidth="1"/>
    <col min="15624" max="15624" width="10" style="14" customWidth="1"/>
    <col min="15625" max="15626" width="0" style="14" hidden="1" customWidth="1"/>
    <col min="15627" max="15627" width="11.7109375" style="14" customWidth="1"/>
    <col min="15628" max="15628" width="1.140625" style="14" customWidth="1"/>
    <col min="15629" max="15629" width="2.140625" style="14" customWidth="1"/>
    <col min="15630" max="15630" width="8.85546875" style="14" customWidth="1"/>
    <col min="15631" max="15631" width="7.85546875" style="14" customWidth="1"/>
    <col min="15632" max="15632" width="3.5703125" style="14" customWidth="1"/>
    <col min="15633" max="15633" width="12.5703125" style="14" customWidth="1"/>
    <col min="15634" max="15634" width="23" style="14" customWidth="1"/>
    <col min="15635" max="15635" width="11" style="14" customWidth="1"/>
    <col min="15636" max="15636" width="0" style="14" hidden="1" customWidth="1"/>
    <col min="15637" max="15637" width="1.42578125" style="14" customWidth="1"/>
    <col min="15638" max="15638" width="1.7109375" style="14" customWidth="1"/>
    <col min="15639" max="15872" width="9.140625" style="14"/>
    <col min="15873" max="15873" width="3" style="14" customWidth="1"/>
    <col min="15874" max="15874" width="2" style="14" customWidth="1"/>
    <col min="15875" max="15876" width="10" style="14" customWidth="1"/>
    <col min="15877" max="15877" width="0.28515625" style="14" customWidth="1"/>
    <col min="15878" max="15878" width="21.85546875" style="14" customWidth="1"/>
    <col min="15879" max="15879" width="0" style="14" hidden="1" customWidth="1"/>
    <col min="15880" max="15880" width="10" style="14" customWidth="1"/>
    <col min="15881" max="15882" width="0" style="14" hidden="1" customWidth="1"/>
    <col min="15883" max="15883" width="11.7109375" style="14" customWidth="1"/>
    <col min="15884" max="15884" width="1.140625" style="14" customWidth="1"/>
    <col min="15885" max="15885" width="2.140625" style="14" customWidth="1"/>
    <col min="15886" max="15886" width="8.85546875" style="14" customWidth="1"/>
    <col min="15887" max="15887" width="7.85546875" style="14" customWidth="1"/>
    <col min="15888" max="15888" width="3.5703125" style="14" customWidth="1"/>
    <col min="15889" max="15889" width="12.5703125" style="14" customWidth="1"/>
    <col min="15890" max="15890" width="23" style="14" customWidth="1"/>
    <col min="15891" max="15891" width="11" style="14" customWidth="1"/>
    <col min="15892" max="15892" width="0" style="14" hidden="1" customWidth="1"/>
    <col min="15893" max="15893" width="1.42578125" style="14" customWidth="1"/>
    <col min="15894" max="15894" width="1.7109375" style="14" customWidth="1"/>
    <col min="15895" max="16128" width="9.140625" style="14"/>
    <col min="16129" max="16129" width="3" style="14" customWidth="1"/>
    <col min="16130" max="16130" width="2" style="14" customWidth="1"/>
    <col min="16131" max="16132" width="10" style="14" customWidth="1"/>
    <col min="16133" max="16133" width="0.28515625" style="14" customWidth="1"/>
    <col min="16134" max="16134" width="21.85546875" style="14" customWidth="1"/>
    <col min="16135" max="16135" width="0" style="14" hidden="1" customWidth="1"/>
    <col min="16136" max="16136" width="10" style="14" customWidth="1"/>
    <col min="16137" max="16138" width="0" style="14" hidden="1" customWidth="1"/>
    <col min="16139" max="16139" width="11.7109375" style="14" customWidth="1"/>
    <col min="16140" max="16140" width="1.140625" style="14" customWidth="1"/>
    <col min="16141" max="16141" width="2.140625" style="14" customWidth="1"/>
    <col min="16142" max="16142" width="8.85546875" style="14" customWidth="1"/>
    <col min="16143" max="16143" width="7.85546875" style="14" customWidth="1"/>
    <col min="16144" max="16144" width="3.5703125" style="14" customWidth="1"/>
    <col min="16145" max="16145" width="12.5703125" style="14" customWidth="1"/>
    <col min="16146" max="16146" width="23" style="14" customWidth="1"/>
    <col min="16147" max="16147" width="11" style="14" customWidth="1"/>
    <col min="16148" max="16148" width="0" style="14" hidden="1" customWidth="1"/>
    <col min="16149" max="16149" width="1.42578125" style="14" customWidth="1"/>
    <col min="16150" max="16150" width="1.7109375" style="14" customWidth="1"/>
    <col min="16151" max="16384" width="9.140625" style="14"/>
  </cols>
  <sheetData>
    <row r="1" spans="2:21" s="55" customFormat="1" ht="16.5" customHeight="1">
      <c r="C1" s="55" t="s">
        <v>232</v>
      </c>
      <c r="D1" s="55" t="s">
        <v>119</v>
      </c>
    </row>
    <row r="2" spans="2:21" ht="12.75" customHeight="1">
      <c r="B2" s="56"/>
      <c r="C2" s="248" t="s">
        <v>120</v>
      </c>
      <c r="D2" s="316" t="s">
        <v>50</v>
      </c>
      <c r="E2" s="317"/>
      <c r="F2" s="248" t="s">
        <v>51</v>
      </c>
      <c r="G2" s="316" t="s">
        <v>52</v>
      </c>
      <c r="H2" s="317"/>
      <c r="I2" s="316" t="s">
        <v>53</v>
      </c>
      <c r="J2" s="317"/>
      <c r="K2" s="248" t="s">
        <v>54</v>
      </c>
      <c r="L2" s="248" t="s">
        <v>228</v>
      </c>
      <c r="M2" s="248" t="s">
        <v>229</v>
      </c>
      <c r="N2" s="248" t="s">
        <v>55</v>
      </c>
      <c r="O2" s="248" t="s">
        <v>56</v>
      </c>
      <c r="P2" s="316" t="s">
        <v>57</v>
      </c>
      <c r="Q2" s="318"/>
      <c r="R2" s="317"/>
      <c r="S2" s="316" t="s">
        <v>230</v>
      </c>
      <c r="T2" s="317"/>
      <c r="U2" s="57"/>
    </row>
    <row r="3" spans="2:21" ht="13.5" customHeight="1">
      <c r="B3" s="56"/>
      <c r="C3" s="306" t="s">
        <v>152</v>
      </c>
      <c r="D3" s="306"/>
      <c r="E3" s="309"/>
      <c r="F3" s="100">
        <v>43844.637640821755</v>
      </c>
      <c r="G3" s="306">
        <v>65</v>
      </c>
      <c r="H3" s="314"/>
      <c r="I3" s="306">
        <v>4004130</v>
      </c>
      <c r="J3" s="314"/>
      <c r="K3" s="101">
        <v>552</v>
      </c>
      <c r="L3" s="102">
        <v>9390</v>
      </c>
      <c r="M3" s="102">
        <v>610350</v>
      </c>
      <c r="N3" s="102">
        <v>8992.43</v>
      </c>
      <c r="O3" s="102">
        <v>584507.93999999994</v>
      </c>
      <c r="P3" s="306" t="s">
        <v>58</v>
      </c>
      <c r="Q3" s="315"/>
      <c r="R3" s="314"/>
      <c r="S3" s="306" t="s">
        <v>231</v>
      </c>
      <c r="T3" s="314"/>
      <c r="U3" s="57"/>
    </row>
    <row r="4" spans="2:21" ht="13.5" customHeight="1">
      <c r="B4" s="56"/>
      <c r="C4" s="308"/>
      <c r="D4" s="312"/>
      <c r="E4" s="313"/>
      <c r="F4" s="100">
        <v>44069.511571331015</v>
      </c>
      <c r="G4" s="306">
        <v>30</v>
      </c>
      <c r="H4" s="314"/>
      <c r="I4" s="306">
        <v>4127970</v>
      </c>
      <c r="J4" s="314"/>
      <c r="K4" s="101">
        <v>992</v>
      </c>
      <c r="L4" s="102">
        <v>8290</v>
      </c>
      <c r="M4" s="102">
        <v>248700</v>
      </c>
      <c r="N4" s="102">
        <v>7756.5</v>
      </c>
      <c r="O4" s="102">
        <v>232695</v>
      </c>
      <c r="P4" s="306" t="s">
        <v>58</v>
      </c>
      <c r="Q4" s="315"/>
      <c r="R4" s="314"/>
      <c r="S4" s="306" t="s">
        <v>231</v>
      </c>
      <c r="T4" s="314"/>
      <c r="U4" s="57"/>
    </row>
    <row r="5" spans="2:21" ht="13.5" customHeight="1">
      <c r="B5" s="56"/>
      <c r="C5" s="306" t="s">
        <v>153</v>
      </c>
      <c r="D5" s="306"/>
      <c r="E5" s="309"/>
      <c r="F5" s="100">
        <v>43838.386122569442</v>
      </c>
      <c r="G5" s="306">
        <v>25</v>
      </c>
      <c r="H5" s="314"/>
      <c r="I5" s="306">
        <v>3998703</v>
      </c>
      <c r="J5" s="314"/>
      <c r="K5" s="101">
        <v>0</v>
      </c>
      <c r="L5" s="102">
        <v>9380</v>
      </c>
      <c r="M5" s="102">
        <v>234500</v>
      </c>
      <c r="N5" s="102">
        <v>8992.43</v>
      </c>
      <c r="O5" s="102">
        <v>224810.75</v>
      </c>
      <c r="P5" s="306" t="s">
        <v>58</v>
      </c>
      <c r="Q5" s="315"/>
      <c r="R5" s="314"/>
      <c r="S5" s="306" t="s">
        <v>231</v>
      </c>
      <c r="T5" s="314"/>
      <c r="U5" s="57"/>
    </row>
    <row r="6" spans="2:21" ht="13.5" customHeight="1">
      <c r="B6" s="56"/>
      <c r="C6" s="308"/>
      <c r="D6" s="312"/>
      <c r="E6" s="313"/>
      <c r="F6" s="100">
        <v>43844.430511076389</v>
      </c>
      <c r="G6" s="306">
        <v>25</v>
      </c>
      <c r="H6" s="314"/>
      <c r="I6" s="306">
        <v>4003920</v>
      </c>
      <c r="J6" s="314"/>
      <c r="K6" s="101">
        <v>0</v>
      </c>
      <c r="L6" s="102">
        <v>9390</v>
      </c>
      <c r="M6" s="102">
        <v>234750</v>
      </c>
      <c r="N6" s="102">
        <v>8992.43</v>
      </c>
      <c r="O6" s="102">
        <v>224810.75</v>
      </c>
      <c r="P6" s="306" t="s">
        <v>58</v>
      </c>
      <c r="Q6" s="315"/>
      <c r="R6" s="314"/>
      <c r="S6" s="306" t="s">
        <v>231</v>
      </c>
      <c r="T6" s="314"/>
      <c r="U6" s="57"/>
    </row>
    <row r="7" spans="2:21" ht="13.5" customHeight="1">
      <c r="B7" s="56"/>
      <c r="C7" s="306" t="s">
        <v>154</v>
      </c>
      <c r="D7" s="306"/>
      <c r="E7" s="309"/>
      <c r="F7" s="100">
        <v>43838.380969016202</v>
      </c>
      <c r="G7" s="306">
        <v>24</v>
      </c>
      <c r="H7" s="314"/>
      <c r="I7" s="306">
        <v>3998689</v>
      </c>
      <c r="J7" s="314"/>
      <c r="K7" s="101">
        <v>0</v>
      </c>
      <c r="L7" s="102">
        <v>9380</v>
      </c>
      <c r="M7" s="102">
        <v>225120</v>
      </c>
      <c r="N7" s="102">
        <v>8992.43</v>
      </c>
      <c r="O7" s="102">
        <v>215818.31</v>
      </c>
      <c r="P7" s="306" t="s">
        <v>58</v>
      </c>
      <c r="Q7" s="315"/>
      <c r="R7" s="314"/>
      <c r="S7" s="306" t="s">
        <v>231</v>
      </c>
      <c r="T7" s="314"/>
      <c r="U7" s="57"/>
    </row>
    <row r="8" spans="2:21" s="58" customFormat="1" ht="15">
      <c r="B8" s="59"/>
      <c r="C8" s="308"/>
      <c r="D8" s="312"/>
      <c r="E8" s="313"/>
      <c r="F8" s="100">
        <v>43844.435635648144</v>
      </c>
      <c r="G8" s="306">
        <v>24</v>
      </c>
      <c r="H8" s="314"/>
      <c r="I8" s="306">
        <v>4003924</v>
      </c>
      <c r="J8" s="314"/>
      <c r="K8" s="101">
        <v>0</v>
      </c>
      <c r="L8" s="102">
        <v>9390</v>
      </c>
      <c r="M8" s="102">
        <v>225360</v>
      </c>
      <c r="N8" s="102">
        <v>8992.43</v>
      </c>
      <c r="O8" s="102">
        <v>215818.31</v>
      </c>
      <c r="P8" s="306" t="s">
        <v>58</v>
      </c>
      <c r="Q8" s="315"/>
      <c r="R8" s="314"/>
      <c r="S8" s="306" t="s">
        <v>231</v>
      </c>
      <c r="T8" s="314"/>
      <c r="U8" s="60"/>
    </row>
    <row r="9" spans="2:21" ht="13.5" customHeight="1">
      <c r="B9" s="56"/>
      <c r="C9" s="101" t="s">
        <v>155</v>
      </c>
      <c r="D9" s="306"/>
      <c r="E9" s="314"/>
      <c r="F9" s="100">
        <v>43846.649816863421</v>
      </c>
      <c r="G9" s="306">
        <v>76</v>
      </c>
      <c r="H9" s="314"/>
      <c r="I9" s="306">
        <v>4006121</v>
      </c>
      <c r="J9" s="314"/>
      <c r="K9" s="101">
        <v>0</v>
      </c>
      <c r="L9" s="102">
        <v>9390</v>
      </c>
      <c r="M9" s="102">
        <v>713640</v>
      </c>
      <c r="N9" s="102">
        <v>8992.43</v>
      </c>
      <c r="O9" s="102">
        <v>683424.63</v>
      </c>
      <c r="P9" s="306" t="s">
        <v>58</v>
      </c>
      <c r="Q9" s="315"/>
      <c r="R9" s="314"/>
      <c r="S9" s="306" t="s">
        <v>231</v>
      </c>
      <c r="T9" s="314"/>
      <c r="U9" s="57"/>
    </row>
    <row r="10" spans="2:21" ht="13.5" customHeight="1">
      <c r="B10" s="56"/>
      <c r="C10" s="306" t="s">
        <v>59</v>
      </c>
      <c r="D10" s="306"/>
      <c r="E10" s="309"/>
      <c r="F10" s="100">
        <v>43844.419316284722</v>
      </c>
      <c r="G10" s="306">
        <v>44</v>
      </c>
      <c r="H10" s="314"/>
      <c r="I10" s="306">
        <v>4003912</v>
      </c>
      <c r="J10" s="314"/>
      <c r="K10" s="101">
        <v>132746</v>
      </c>
      <c r="L10" s="102">
        <v>9390</v>
      </c>
      <c r="M10" s="102">
        <v>413160</v>
      </c>
      <c r="N10" s="102">
        <v>8992.43</v>
      </c>
      <c r="O10" s="102">
        <v>395666.91</v>
      </c>
      <c r="P10" s="306" t="s">
        <v>58</v>
      </c>
      <c r="Q10" s="315"/>
      <c r="R10" s="314"/>
      <c r="S10" s="306" t="s">
        <v>231</v>
      </c>
      <c r="T10" s="314"/>
      <c r="U10" s="57"/>
    </row>
    <row r="11" spans="2:21" ht="13.5" customHeight="1">
      <c r="B11" s="56"/>
      <c r="C11" s="307"/>
      <c r="D11" s="310"/>
      <c r="E11" s="311"/>
      <c r="F11" s="100">
        <v>43846.379082719905</v>
      </c>
      <c r="G11" s="306">
        <v>38.161998748779297</v>
      </c>
      <c r="H11" s="314"/>
      <c r="I11" s="306">
        <v>4005806</v>
      </c>
      <c r="J11" s="314"/>
      <c r="K11" s="101">
        <v>132950</v>
      </c>
      <c r="L11" s="102">
        <v>9390</v>
      </c>
      <c r="M11" s="102">
        <v>358341</v>
      </c>
      <c r="N11" s="102">
        <v>8992.43</v>
      </c>
      <c r="O11" s="102">
        <v>343169.09</v>
      </c>
      <c r="P11" s="306" t="s">
        <v>58</v>
      </c>
      <c r="Q11" s="315"/>
      <c r="R11" s="314"/>
      <c r="S11" s="306" t="s">
        <v>231</v>
      </c>
      <c r="T11" s="314"/>
      <c r="U11" s="57"/>
    </row>
    <row r="12" spans="2:21" ht="13.5" customHeight="1">
      <c r="B12" s="56"/>
      <c r="C12" s="307"/>
      <c r="D12" s="310"/>
      <c r="E12" s="311"/>
      <c r="F12" s="100">
        <v>43852.412252349532</v>
      </c>
      <c r="G12" s="306">
        <v>37.426998138427734</v>
      </c>
      <c r="H12" s="314"/>
      <c r="I12" s="306">
        <v>4011618</v>
      </c>
      <c r="J12" s="314"/>
      <c r="K12" s="101">
        <v>133260</v>
      </c>
      <c r="L12" s="102">
        <v>9390</v>
      </c>
      <c r="M12" s="102">
        <v>351440</v>
      </c>
      <c r="N12" s="102">
        <v>8992.43</v>
      </c>
      <c r="O12" s="102">
        <v>336559.66</v>
      </c>
      <c r="P12" s="306" t="s">
        <v>58</v>
      </c>
      <c r="Q12" s="315"/>
      <c r="R12" s="314"/>
      <c r="S12" s="306" t="s">
        <v>231</v>
      </c>
      <c r="T12" s="314"/>
      <c r="U12" s="57"/>
    </row>
    <row r="13" spans="2:21" s="58" customFormat="1" ht="13.5" customHeight="1">
      <c r="B13" s="59"/>
      <c r="C13" s="307"/>
      <c r="D13" s="310"/>
      <c r="E13" s="311"/>
      <c r="F13" s="100">
        <v>43858.45457642361</v>
      </c>
      <c r="G13" s="306">
        <v>41.929000854492188</v>
      </c>
      <c r="H13" s="314"/>
      <c r="I13" s="306">
        <v>4017382</v>
      </c>
      <c r="J13" s="314"/>
      <c r="K13" s="101">
        <v>133542</v>
      </c>
      <c r="L13" s="102">
        <v>9390</v>
      </c>
      <c r="M13" s="102">
        <v>393713</v>
      </c>
      <c r="N13" s="102">
        <v>8992.43</v>
      </c>
      <c r="O13" s="102">
        <v>377043.59</v>
      </c>
      <c r="P13" s="306" t="s">
        <v>58</v>
      </c>
      <c r="Q13" s="315"/>
      <c r="R13" s="314"/>
      <c r="S13" s="306" t="s">
        <v>231</v>
      </c>
      <c r="T13" s="314"/>
      <c r="U13" s="60"/>
    </row>
    <row r="14" spans="2:21" ht="13.5" customHeight="1">
      <c r="B14" s="56"/>
      <c r="C14" s="307"/>
      <c r="D14" s="310"/>
      <c r="E14" s="311"/>
      <c r="F14" s="100">
        <v>43903.333633182869</v>
      </c>
      <c r="G14" s="306">
        <v>36.080001831054688</v>
      </c>
      <c r="H14" s="314"/>
      <c r="I14" s="306">
        <v>4060795</v>
      </c>
      <c r="J14" s="314"/>
      <c r="K14" s="101">
        <v>133736</v>
      </c>
      <c r="L14" s="102">
        <v>9390</v>
      </c>
      <c r="M14" s="102">
        <v>338791</v>
      </c>
      <c r="N14" s="102">
        <v>8854.2800000000007</v>
      </c>
      <c r="O14" s="102">
        <v>319462.44</v>
      </c>
      <c r="P14" s="306" t="s">
        <v>58</v>
      </c>
      <c r="Q14" s="315"/>
      <c r="R14" s="314"/>
      <c r="S14" s="306" t="s">
        <v>231</v>
      </c>
      <c r="T14" s="314"/>
      <c r="U14" s="57"/>
    </row>
    <row r="15" spans="2:21" ht="13.5" customHeight="1">
      <c r="B15" s="56"/>
      <c r="C15" s="308"/>
      <c r="D15" s="312"/>
      <c r="E15" s="313"/>
      <c r="F15" s="100">
        <v>44041.349616979162</v>
      </c>
      <c r="G15" s="306">
        <v>30</v>
      </c>
      <c r="H15" s="314"/>
      <c r="I15" s="306">
        <v>4114129</v>
      </c>
      <c r="J15" s="314"/>
      <c r="K15" s="101">
        <v>134014</v>
      </c>
      <c r="L15" s="102">
        <v>8390</v>
      </c>
      <c r="M15" s="102">
        <v>251700</v>
      </c>
      <c r="N15" s="102">
        <v>7756.5</v>
      </c>
      <c r="O15" s="102">
        <v>232695</v>
      </c>
      <c r="P15" s="306" t="s">
        <v>58</v>
      </c>
      <c r="Q15" s="315"/>
      <c r="R15" s="314"/>
      <c r="S15" s="306" t="s">
        <v>231</v>
      </c>
      <c r="T15" s="314"/>
      <c r="U15" s="57"/>
    </row>
    <row r="16" spans="2:21" ht="13.5" customHeight="1">
      <c r="B16" s="56"/>
      <c r="C16" s="306" t="s">
        <v>60</v>
      </c>
      <c r="D16" s="306"/>
      <c r="E16" s="309"/>
      <c r="F16" s="100">
        <v>43837.601636956017</v>
      </c>
      <c r="G16" s="306">
        <v>44</v>
      </c>
      <c r="H16" s="314"/>
      <c r="I16" s="306">
        <v>3998029</v>
      </c>
      <c r="J16" s="314"/>
      <c r="K16" s="101">
        <v>71338</v>
      </c>
      <c r="L16" s="102">
        <v>9380</v>
      </c>
      <c r="M16" s="102">
        <v>412720</v>
      </c>
      <c r="N16" s="102">
        <v>8992.43</v>
      </c>
      <c r="O16" s="102">
        <v>395666.91</v>
      </c>
      <c r="P16" s="306" t="s">
        <v>58</v>
      </c>
      <c r="Q16" s="315"/>
      <c r="R16" s="314"/>
      <c r="S16" s="306" t="s">
        <v>231</v>
      </c>
      <c r="T16" s="314"/>
      <c r="U16" s="57"/>
    </row>
    <row r="17" spans="2:21" s="58" customFormat="1" ht="13.5" customHeight="1">
      <c r="B17" s="59"/>
      <c r="C17" s="307"/>
      <c r="D17" s="310"/>
      <c r="E17" s="311"/>
      <c r="F17" s="100">
        <v>43845.57914065972</v>
      </c>
      <c r="G17" s="306">
        <v>42.470001220703125</v>
      </c>
      <c r="H17" s="314"/>
      <c r="I17" s="306">
        <v>4005013</v>
      </c>
      <c r="J17" s="314"/>
      <c r="K17" s="101">
        <v>71652</v>
      </c>
      <c r="L17" s="102">
        <v>9390</v>
      </c>
      <c r="M17" s="102">
        <v>398793</v>
      </c>
      <c r="N17" s="102">
        <v>8992.43</v>
      </c>
      <c r="O17" s="102">
        <v>381908.5</v>
      </c>
      <c r="P17" s="306" t="s">
        <v>58</v>
      </c>
      <c r="Q17" s="315"/>
      <c r="R17" s="314"/>
      <c r="S17" s="306" t="s">
        <v>231</v>
      </c>
      <c r="T17" s="314"/>
      <c r="U17" s="60"/>
    </row>
    <row r="18" spans="2:21" ht="13.5" customHeight="1">
      <c r="B18" s="56"/>
      <c r="C18" s="307"/>
      <c r="D18" s="310"/>
      <c r="E18" s="311"/>
      <c r="F18" s="100">
        <v>43851.347358946754</v>
      </c>
      <c r="G18" s="306">
        <v>39.770000457763672</v>
      </c>
      <c r="H18" s="314"/>
      <c r="I18" s="306">
        <v>4010634</v>
      </c>
      <c r="J18" s="314"/>
      <c r="K18" s="101">
        <v>71933</v>
      </c>
      <c r="L18" s="102">
        <v>9390</v>
      </c>
      <c r="M18" s="102">
        <v>373440</v>
      </c>
      <c r="N18" s="102">
        <v>8992.43</v>
      </c>
      <c r="O18" s="102">
        <v>357628.94</v>
      </c>
      <c r="P18" s="306" t="s">
        <v>58</v>
      </c>
      <c r="Q18" s="315"/>
      <c r="R18" s="314"/>
      <c r="S18" s="306" t="s">
        <v>231</v>
      </c>
      <c r="T18" s="314"/>
      <c r="U18" s="57"/>
    </row>
    <row r="19" spans="2:21" ht="13.5" customHeight="1">
      <c r="B19" s="56"/>
      <c r="C19" s="307"/>
      <c r="D19" s="310"/>
      <c r="E19" s="311"/>
      <c r="F19" s="100">
        <v>43857.391561493052</v>
      </c>
      <c r="G19" s="306">
        <v>39.431999206542969</v>
      </c>
      <c r="H19" s="314"/>
      <c r="I19" s="306">
        <v>4016344</v>
      </c>
      <c r="J19" s="314"/>
      <c r="K19" s="101">
        <v>72271</v>
      </c>
      <c r="L19" s="102">
        <v>9390</v>
      </c>
      <c r="M19" s="102">
        <v>370266</v>
      </c>
      <c r="N19" s="102">
        <v>8992.43</v>
      </c>
      <c r="O19" s="102">
        <v>354589.47</v>
      </c>
      <c r="P19" s="306" t="s">
        <v>58</v>
      </c>
      <c r="Q19" s="315"/>
      <c r="R19" s="314"/>
      <c r="S19" s="306" t="s">
        <v>231</v>
      </c>
      <c r="T19" s="314"/>
      <c r="U19" s="57"/>
    </row>
    <row r="20" spans="2:21" ht="13.5" customHeight="1">
      <c r="B20" s="56"/>
      <c r="C20" s="307"/>
      <c r="D20" s="310"/>
      <c r="E20" s="311"/>
      <c r="F20" s="100">
        <v>43945.658251076384</v>
      </c>
      <c r="G20" s="306">
        <v>30</v>
      </c>
      <c r="H20" s="314"/>
      <c r="I20" s="306">
        <v>4072845</v>
      </c>
      <c r="J20" s="314"/>
      <c r="K20" s="101">
        <v>72574</v>
      </c>
      <c r="L20" s="102">
        <v>8540</v>
      </c>
      <c r="M20" s="102">
        <v>256200</v>
      </c>
      <c r="N20" s="102">
        <v>7908.8</v>
      </c>
      <c r="O20" s="102">
        <v>237264</v>
      </c>
      <c r="P20" s="306" t="s">
        <v>58</v>
      </c>
      <c r="Q20" s="315"/>
      <c r="R20" s="314"/>
      <c r="S20" s="306" t="s">
        <v>231</v>
      </c>
      <c r="T20" s="314"/>
      <c r="U20" s="57"/>
    </row>
    <row r="21" spans="2:21" ht="13.5" customHeight="1">
      <c r="B21" s="56"/>
      <c r="C21" s="307"/>
      <c r="D21" s="310"/>
      <c r="E21" s="311"/>
      <c r="F21" s="100">
        <v>43959.632554594908</v>
      </c>
      <c r="G21" s="306">
        <v>30</v>
      </c>
      <c r="H21" s="314"/>
      <c r="I21" s="306">
        <v>4077240</v>
      </c>
      <c r="J21" s="314"/>
      <c r="K21" s="101">
        <v>72785</v>
      </c>
      <c r="L21" s="102">
        <v>8540</v>
      </c>
      <c r="M21" s="102">
        <v>256200</v>
      </c>
      <c r="N21" s="102">
        <v>7908.8</v>
      </c>
      <c r="O21" s="102">
        <v>237264</v>
      </c>
      <c r="P21" s="306" t="s">
        <v>58</v>
      </c>
      <c r="Q21" s="315"/>
      <c r="R21" s="314"/>
      <c r="S21" s="306" t="s">
        <v>231</v>
      </c>
      <c r="T21" s="314"/>
      <c r="U21" s="57"/>
    </row>
    <row r="22" spans="2:21" ht="13.5" customHeight="1">
      <c r="B22" s="56"/>
      <c r="C22" s="307"/>
      <c r="D22" s="310"/>
      <c r="E22" s="311"/>
      <c r="F22" s="100">
        <v>43969.599085381946</v>
      </c>
      <c r="G22" s="306">
        <v>30</v>
      </c>
      <c r="H22" s="314"/>
      <c r="I22" s="306">
        <v>4080913</v>
      </c>
      <c r="J22" s="314"/>
      <c r="K22" s="101">
        <v>73082</v>
      </c>
      <c r="L22" s="102">
        <v>8540</v>
      </c>
      <c r="M22" s="102">
        <v>256200</v>
      </c>
      <c r="N22" s="102">
        <v>7908.8</v>
      </c>
      <c r="O22" s="102">
        <v>237264</v>
      </c>
      <c r="P22" s="306" t="s">
        <v>58</v>
      </c>
      <c r="Q22" s="315"/>
      <c r="R22" s="314"/>
      <c r="S22" s="306" t="s">
        <v>231</v>
      </c>
      <c r="T22" s="314"/>
      <c r="U22" s="57"/>
    </row>
    <row r="23" spans="2:21" s="58" customFormat="1" ht="13.5" customHeight="1">
      <c r="B23" s="59"/>
      <c r="C23" s="308"/>
      <c r="D23" s="312"/>
      <c r="E23" s="313"/>
      <c r="F23" s="100">
        <v>43986.630202696761</v>
      </c>
      <c r="G23" s="306">
        <v>30</v>
      </c>
      <c r="H23" s="314"/>
      <c r="I23" s="306">
        <v>4088202</v>
      </c>
      <c r="J23" s="314"/>
      <c r="K23" s="101">
        <v>73320</v>
      </c>
      <c r="L23" s="102">
        <v>8540</v>
      </c>
      <c r="M23" s="102">
        <v>256200</v>
      </c>
      <c r="N23" s="102">
        <v>7906.5</v>
      </c>
      <c r="O23" s="102">
        <v>237195</v>
      </c>
      <c r="P23" s="306" t="s">
        <v>58</v>
      </c>
      <c r="Q23" s="315"/>
      <c r="R23" s="314"/>
      <c r="S23" s="306" t="s">
        <v>231</v>
      </c>
      <c r="T23" s="314"/>
      <c r="U23" s="60"/>
    </row>
    <row r="24" spans="2:21" ht="13.5" customHeight="1">
      <c r="B24" s="56"/>
      <c r="C24" s="306" t="s">
        <v>61</v>
      </c>
      <c r="D24" s="306"/>
      <c r="E24" s="309"/>
      <c r="F24" s="100">
        <v>43846.513457407404</v>
      </c>
      <c r="G24" s="306">
        <v>44</v>
      </c>
      <c r="H24" s="314"/>
      <c r="I24" s="306">
        <v>4005963</v>
      </c>
      <c r="J24" s="314"/>
      <c r="K24" s="101">
        <v>72060</v>
      </c>
      <c r="L24" s="102">
        <v>9390</v>
      </c>
      <c r="M24" s="102">
        <v>413160</v>
      </c>
      <c r="N24" s="102">
        <v>8992.43</v>
      </c>
      <c r="O24" s="102">
        <v>395666.91</v>
      </c>
      <c r="P24" s="306" t="s">
        <v>58</v>
      </c>
      <c r="Q24" s="315"/>
      <c r="R24" s="314"/>
      <c r="S24" s="306" t="s">
        <v>231</v>
      </c>
      <c r="T24" s="314"/>
      <c r="U24" s="57"/>
    </row>
    <row r="25" spans="2:21" ht="13.5" customHeight="1">
      <c r="B25" s="56"/>
      <c r="C25" s="307"/>
      <c r="D25" s="310"/>
      <c r="E25" s="311"/>
      <c r="F25" s="100">
        <v>43854.375418402778</v>
      </c>
      <c r="G25" s="306">
        <v>40.58599853515625</v>
      </c>
      <c r="H25" s="314"/>
      <c r="I25" s="306">
        <v>4013564</v>
      </c>
      <c r="J25" s="314"/>
      <c r="K25" s="101">
        <v>72330</v>
      </c>
      <c r="L25" s="102">
        <v>9390</v>
      </c>
      <c r="M25" s="102">
        <v>381103</v>
      </c>
      <c r="N25" s="102">
        <v>8992.43</v>
      </c>
      <c r="O25" s="102">
        <v>364966.75</v>
      </c>
      <c r="P25" s="306" t="s">
        <v>58</v>
      </c>
      <c r="Q25" s="315"/>
      <c r="R25" s="314"/>
      <c r="S25" s="306" t="s">
        <v>231</v>
      </c>
      <c r="T25" s="314"/>
      <c r="U25" s="57"/>
    </row>
    <row r="26" spans="2:21" ht="13.5" customHeight="1">
      <c r="B26" s="56"/>
      <c r="C26" s="307"/>
      <c r="D26" s="310"/>
      <c r="E26" s="311"/>
      <c r="F26" s="100">
        <v>43907.38114957176</v>
      </c>
      <c r="G26" s="306">
        <v>42.110000610351563</v>
      </c>
      <c r="H26" s="314"/>
      <c r="I26" s="306">
        <v>4064021</v>
      </c>
      <c r="J26" s="314"/>
      <c r="K26" s="101">
        <v>72594</v>
      </c>
      <c r="L26" s="102">
        <v>9390</v>
      </c>
      <c r="M26" s="102">
        <v>395413</v>
      </c>
      <c r="N26" s="102">
        <v>8853.7999999999993</v>
      </c>
      <c r="O26" s="102">
        <v>372833.5</v>
      </c>
      <c r="P26" s="306" t="s">
        <v>58</v>
      </c>
      <c r="Q26" s="315"/>
      <c r="R26" s="314"/>
      <c r="S26" s="306" t="s">
        <v>231</v>
      </c>
      <c r="T26" s="314"/>
      <c r="U26" s="57"/>
    </row>
    <row r="27" spans="2:21" s="58" customFormat="1" ht="13.5" customHeight="1">
      <c r="B27" s="59"/>
      <c r="C27" s="307"/>
      <c r="D27" s="310"/>
      <c r="E27" s="311"/>
      <c r="F27" s="100">
        <v>44045.490788773146</v>
      </c>
      <c r="G27" s="306">
        <v>30</v>
      </c>
      <c r="H27" s="314"/>
      <c r="I27" s="306">
        <v>4116286</v>
      </c>
      <c r="J27" s="314"/>
      <c r="K27" s="101">
        <v>72850</v>
      </c>
      <c r="L27" s="102">
        <v>8390</v>
      </c>
      <c r="M27" s="102">
        <v>251700</v>
      </c>
      <c r="N27" s="102">
        <v>7756.5</v>
      </c>
      <c r="O27" s="102">
        <v>232695</v>
      </c>
      <c r="P27" s="306" t="s">
        <v>58</v>
      </c>
      <c r="Q27" s="315"/>
      <c r="R27" s="314"/>
      <c r="S27" s="306" t="s">
        <v>231</v>
      </c>
      <c r="T27" s="314"/>
      <c r="U27" s="60"/>
    </row>
    <row r="28" spans="2:21" ht="13.5" customHeight="1">
      <c r="B28" s="56"/>
      <c r="C28" s="308"/>
      <c r="D28" s="312"/>
      <c r="E28" s="313"/>
      <c r="F28" s="100">
        <v>44095.346240474537</v>
      </c>
      <c r="G28" s="306">
        <v>30</v>
      </c>
      <c r="H28" s="314"/>
      <c r="I28" s="306">
        <v>4142252</v>
      </c>
      <c r="J28" s="314"/>
      <c r="K28" s="101">
        <v>73002</v>
      </c>
      <c r="L28" s="102">
        <v>8290</v>
      </c>
      <c r="M28" s="102">
        <v>248700</v>
      </c>
      <c r="N28" s="102">
        <v>7756.5</v>
      </c>
      <c r="O28" s="102">
        <v>232695</v>
      </c>
      <c r="P28" s="306" t="s">
        <v>58</v>
      </c>
      <c r="Q28" s="315"/>
      <c r="R28" s="314"/>
      <c r="S28" s="306" t="s">
        <v>231</v>
      </c>
      <c r="T28" s="314"/>
      <c r="U28" s="57"/>
    </row>
    <row r="29" spans="2:21" ht="13.5" customHeight="1">
      <c r="B29" s="56"/>
      <c r="C29" s="306" t="s">
        <v>62</v>
      </c>
      <c r="D29" s="306"/>
      <c r="E29" s="309"/>
      <c r="F29" s="100">
        <v>43845.373801932867</v>
      </c>
      <c r="G29" s="306">
        <v>39.816001892089844</v>
      </c>
      <c r="H29" s="314"/>
      <c r="I29" s="306">
        <v>4004789</v>
      </c>
      <c r="J29" s="314"/>
      <c r="K29" s="101">
        <v>67050</v>
      </c>
      <c r="L29" s="102">
        <v>9390</v>
      </c>
      <c r="M29" s="102">
        <v>373872</v>
      </c>
      <c r="N29" s="102">
        <v>8992.43</v>
      </c>
      <c r="O29" s="102">
        <v>358042.59</v>
      </c>
      <c r="P29" s="306" t="s">
        <v>58</v>
      </c>
      <c r="Q29" s="315"/>
      <c r="R29" s="314"/>
      <c r="S29" s="306" t="s">
        <v>231</v>
      </c>
      <c r="T29" s="314"/>
      <c r="U29" s="57"/>
    </row>
    <row r="30" spans="2:21" ht="13.5" customHeight="1">
      <c r="B30" s="56"/>
      <c r="C30" s="307"/>
      <c r="D30" s="310"/>
      <c r="E30" s="311"/>
      <c r="F30" s="100">
        <v>43850.639026469908</v>
      </c>
      <c r="G30" s="306">
        <v>43.305000305175781</v>
      </c>
      <c r="H30" s="314"/>
      <c r="I30" s="306">
        <v>4009975</v>
      </c>
      <c r="J30" s="314"/>
      <c r="K30" s="101">
        <v>67350</v>
      </c>
      <c r="L30" s="102">
        <v>9390</v>
      </c>
      <c r="M30" s="102">
        <v>406634</v>
      </c>
      <c r="N30" s="102">
        <v>8992.43</v>
      </c>
      <c r="O30" s="102">
        <v>389417.16</v>
      </c>
      <c r="P30" s="306" t="s">
        <v>58</v>
      </c>
      <c r="Q30" s="315"/>
      <c r="R30" s="314"/>
      <c r="S30" s="306" t="s">
        <v>231</v>
      </c>
      <c r="T30" s="314"/>
      <c r="U30" s="57"/>
    </row>
    <row r="31" spans="2:21" ht="13.5" customHeight="1">
      <c r="B31" s="56"/>
      <c r="C31" s="307"/>
      <c r="D31" s="310"/>
      <c r="E31" s="311"/>
      <c r="F31" s="100">
        <v>43855.363740196757</v>
      </c>
      <c r="G31" s="306">
        <v>43.830001831054688</v>
      </c>
      <c r="H31" s="314"/>
      <c r="I31" s="306">
        <v>4014576</v>
      </c>
      <c r="J31" s="314"/>
      <c r="K31" s="101">
        <v>67615</v>
      </c>
      <c r="L31" s="102">
        <v>9390</v>
      </c>
      <c r="M31" s="102">
        <v>411564</v>
      </c>
      <c r="N31" s="102">
        <v>8992.43</v>
      </c>
      <c r="O31" s="102">
        <v>394138.22</v>
      </c>
      <c r="P31" s="306" t="s">
        <v>58</v>
      </c>
      <c r="Q31" s="315"/>
      <c r="R31" s="314"/>
      <c r="S31" s="306" t="s">
        <v>231</v>
      </c>
      <c r="T31" s="314"/>
      <c r="U31" s="57"/>
    </row>
    <row r="32" spans="2:21" ht="13.5" customHeight="1">
      <c r="B32" s="56"/>
      <c r="C32" s="307"/>
      <c r="D32" s="310"/>
      <c r="E32" s="311"/>
      <c r="F32" s="100">
        <v>43902.501077858797</v>
      </c>
      <c r="G32" s="306">
        <v>44</v>
      </c>
      <c r="H32" s="314"/>
      <c r="I32" s="306">
        <v>4060105</v>
      </c>
      <c r="J32" s="314"/>
      <c r="K32" s="101">
        <v>67825</v>
      </c>
      <c r="L32" s="102">
        <v>9390</v>
      </c>
      <c r="M32" s="102">
        <v>413160</v>
      </c>
      <c r="N32" s="102">
        <v>8854.2800000000007</v>
      </c>
      <c r="O32" s="102">
        <v>389588.34</v>
      </c>
      <c r="P32" s="306" t="s">
        <v>58</v>
      </c>
      <c r="Q32" s="315"/>
      <c r="R32" s="314"/>
      <c r="S32" s="306" t="s">
        <v>231</v>
      </c>
      <c r="T32" s="314"/>
      <c r="U32" s="57"/>
    </row>
    <row r="33" spans="2:21" ht="13.5" customHeight="1">
      <c r="B33" s="56"/>
      <c r="C33" s="307"/>
      <c r="D33" s="310"/>
      <c r="E33" s="311"/>
      <c r="F33" s="100">
        <v>43960.337315277779</v>
      </c>
      <c r="G33" s="306">
        <v>30</v>
      </c>
      <c r="H33" s="314"/>
      <c r="I33" s="306">
        <v>4077456</v>
      </c>
      <c r="J33" s="314"/>
      <c r="K33" s="101">
        <v>68160</v>
      </c>
      <c r="L33" s="102">
        <v>8540</v>
      </c>
      <c r="M33" s="102">
        <v>256200</v>
      </c>
      <c r="N33" s="102">
        <v>7908.8</v>
      </c>
      <c r="O33" s="102">
        <v>237264</v>
      </c>
      <c r="P33" s="306" t="s">
        <v>58</v>
      </c>
      <c r="Q33" s="315"/>
      <c r="R33" s="314"/>
      <c r="S33" s="306" t="s">
        <v>231</v>
      </c>
      <c r="T33" s="314"/>
      <c r="U33" s="57"/>
    </row>
    <row r="34" spans="2:21" s="58" customFormat="1" ht="13.5" customHeight="1">
      <c r="B34" s="59"/>
      <c r="C34" s="307"/>
      <c r="D34" s="310"/>
      <c r="E34" s="311"/>
      <c r="F34" s="100">
        <v>43969.334794016198</v>
      </c>
      <c r="G34" s="306">
        <v>30</v>
      </c>
      <c r="H34" s="314"/>
      <c r="I34" s="306">
        <v>4080777</v>
      </c>
      <c r="J34" s="314"/>
      <c r="K34" s="101">
        <v>68450</v>
      </c>
      <c r="L34" s="102">
        <v>8540</v>
      </c>
      <c r="M34" s="102">
        <v>256200</v>
      </c>
      <c r="N34" s="102">
        <v>7908.8</v>
      </c>
      <c r="O34" s="102">
        <v>237264</v>
      </c>
      <c r="P34" s="306" t="s">
        <v>58</v>
      </c>
      <c r="Q34" s="315"/>
      <c r="R34" s="314"/>
      <c r="S34" s="306" t="s">
        <v>231</v>
      </c>
      <c r="T34" s="314"/>
      <c r="U34" s="60"/>
    </row>
    <row r="35" spans="2:21" ht="13.5" customHeight="1">
      <c r="B35" s="56"/>
      <c r="C35" s="307"/>
      <c r="D35" s="310"/>
      <c r="E35" s="311"/>
      <c r="F35" s="100">
        <v>43978.301727627309</v>
      </c>
      <c r="G35" s="306">
        <v>30</v>
      </c>
      <c r="H35" s="314"/>
      <c r="I35" s="306">
        <v>4084463</v>
      </c>
      <c r="J35" s="314"/>
      <c r="K35" s="101">
        <v>68710</v>
      </c>
      <c r="L35" s="102">
        <v>8540</v>
      </c>
      <c r="M35" s="102">
        <v>256200</v>
      </c>
      <c r="N35" s="102">
        <v>7908.8</v>
      </c>
      <c r="O35" s="102">
        <v>237264</v>
      </c>
      <c r="P35" s="306" t="s">
        <v>58</v>
      </c>
      <c r="Q35" s="315"/>
      <c r="R35" s="314"/>
      <c r="S35" s="306" t="s">
        <v>231</v>
      </c>
      <c r="T35" s="314"/>
      <c r="U35" s="57"/>
    </row>
    <row r="36" spans="2:21" ht="13.5" customHeight="1">
      <c r="B36" s="56"/>
      <c r="C36" s="308"/>
      <c r="D36" s="312"/>
      <c r="E36" s="313"/>
      <c r="F36" s="100">
        <v>44000.578030590274</v>
      </c>
      <c r="G36" s="306">
        <v>30</v>
      </c>
      <c r="H36" s="314"/>
      <c r="I36" s="306">
        <v>4094762</v>
      </c>
      <c r="J36" s="314"/>
      <c r="K36" s="101">
        <v>68891</v>
      </c>
      <c r="L36" s="102">
        <v>8290</v>
      </c>
      <c r="M36" s="102">
        <v>248700</v>
      </c>
      <c r="N36" s="102">
        <v>7906.5</v>
      </c>
      <c r="O36" s="102">
        <v>237195</v>
      </c>
      <c r="P36" s="306" t="s">
        <v>58</v>
      </c>
      <c r="Q36" s="315"/>
      <c r="R36" s="314"/>
      <c r="S36" s="306" t="s">
        <v>231</v>
      </c>
      <c r="T36" s="314"/>
      <c r="U36" s="57"/>
    </row>
    <row r="37" spans="2:21" ht="13.5" customHeight="1">
      <c r="B37" s="56"/>
      <c r="C37" s="306" t="s">
        <v>46</v>
      </c>
      <c r="D37" s="306"/>
      <c r="E37" s="309"/>
      <c r="F37" s="100">
        <v>43851.55505667824</v>
      </c>
      <c r="G37" s="306">
        <v>36.248001098632813</v>
      </c>
      <c r="H37" s="314"/>
      <c r="I37" s="306">
        <v>4010862</v>
      </c>
      <c r="J37" s="314"/>
      <c r="K37" s="101">
        <v>27987</v>
      </c>
      <c r="L37" s="102">
        <v>9390</v>
      </c>
      <c r="M37" s="102">
        <v>340369</v>
      </c>
      <c r="N37" s="102">
        <v>8992.43</v>
      </c>
      <c r="O37" s="102">
        <v>325957.59000000003</v>
      </c>
      <c r="P37" s="306" t="s">
        <v>58</v>
      </c>
      <c r="Q37" s="315"/>
      <c r="R37" s="314"/>
      <c r="S37" s="306" t="s">
        <v>231</v>
      </c>
      <c r="T37" s="314"/>
      <c r="U37" s="57"/>
    </row>
    <row r="38" spans="2:21" ht="13.5" customHeight="1">
      <c r="B38" s="56"/>
      <c r="C38" s="307"/>
      <c r="D38" s="310"/>
      <c r="E38" s="311"/>
      <c r="F38" s="100">
        <v>43902.557291400459</v>
      </c>
      <c r="G38" s="306">
        <v>36.095001220703125</v>
      </c>
      <c r="H38" s="314"/>
      <c r="I38" s="306">
        <v>4060152</v>
      </c>
      <c r="J38" s="314"/>
      <c r="K38" s="101">
        <v>28389</v>
      </c>
      <c r="L38" s="102">
        <v>9390</v>
      </c>
      <c r="M38" s="102">
        <v>338932</v>
      </c>
      <c r="N38" s="102">
        <v>8854.2800000000007</v>
      </c>
      <c r="O38" s="102">
        <v>319595.25</v>
      </c>
      <c r="P38" s="306" t="s">
        <v>58</v>
      </c>
      <c r="Q38" s="315"/>
      <c r="R38" s="314"/>
      <c r="S38" s="306" t="s">
        <v>231</v>
      </c>
      <c r="T38" s="314"/>
      <c r="U38" s="57"/>
    </row>
    <row r="39" spans="2:21" ht="13.5" customHeight="1">
      <c r="B39" s="56"/>
      <c r="C39" s="307"/>
      <c r="D39" s="310"/>
      <c r="E39" s="311"/>
      <c r="F39" s="100">
        <v>43945.50523052083</v>
      </c>
      <c r="G39" s="306">
        <v>30</v>
      </c>
      <c r="H39" s="314"/>
      <c r="I39" s="306">
        <v>4072789</v>
      </c>
      <c r="J39" s="314"/>
      <c r="K39" s="101">
        <v>28958</v>
      </c>
      <c r="L39" s="102">
        <v>8540</v>
      </c>
      <c r="M39" s="102">
        <v>256200</v>
      </c>
      <c r="N39" s="102">
        <v>7908.8</v>
      </c>
      <c r="O39" s="102">
        <v>237264</v>
      </c>
      <c r="P39" s="306" t="s">
        <v>58</v>
      </c>
      <c r="Q39" s="315"/>
      <c r="R39" s="314"/>
      <c r="S39" s="306" t="s">
        <v>231</v>
      </c>
      <c r="T39" s="314"/>
      <c r="U39" s="57"/>
    </row>
    <row r="40" spans="2:21" ht="13.5" customHeight="1">
      <c r="B40" s="56"/>
      <c r="C40" s="307"/>
      <c r="D40" s="310"/>
      <c r="E40" s="311"/>
      <c r="F40" s="100">
        <v>43959.351095451384</v>
      </c>
      <c r="G40" s="306">
        <v>30</v>
      </c>
      <c r="H40" s="314"/>
      <c r="I40" s="306">
        <v>4077089</v>
      </c>
      <c r="J40" s="314"/>
      <c r="K40" s="101">
        <v>29256</v>
      </c>
      <c r="L40" s="102">
        <v>8540</v>
      </c>
      <c r="M40" s="102">
        <v>256200</v>
      </c>
      <c r="N40" s="102">
        <v>7908.8</v>
      </c>
      <c r="O40" s="102">
        <v>237264</v>
      </c>
      <c r="P40" s="306" t="s">
        <v>58</v>
      </c>
      <c r="Q40" s="315"/>
      <c r="R40" s="314"/>
      <c r="S40" s="306" t="s">
        <v>231</v>
      </c>
      <c r="T40" s="314"/>
      <c r="U40" s="57"/>
    </row>
    <row r="41" spans="2:21" ht="13.5" customHeight="1">
      <c r="B41" s="56"/>
      <c r="C41" s="307"/>
      <c r="D41" s="310"/>
      <c r="E41" s="311"/>
      <c r="F41" s="100">
        <v>43986.352457141205</v>
      </c>
      <c r="G41" s="306">
        <v>30</v>
      </c>
      <c r="H41" s="314"/>
      <c r="I41" s="306">
        <v>4088010</v>
      </c>
      <c r="J41" s="314"/>
      <c r="K41" s="101">
        <v>29636</v>
      </c>
      <c r="L41" s="102">
        <v>8540</v>
      </c>
      <c r="M41" s="102">
        <v>256200</v>
      </c>
      <c r="N41" s="102">
        <v>7906.5</v>
      </c>
      <c r="O41" s="102">
        <v>237195</v>
      </c>
      <c r="P41" s="306" t="s">
        <v>58</v>
      </c>
      <c r="Q41" s="315"/>
      <c r="R41" s="314"/>
      <c r="S41" s="306" t="s">
        <v>231</v>
      </c>
      <c r="T41" s="314"/>
      <c r="U41" s="57"/>
    </row>
    <row r="42" spans="2:21" ht="13.5" customHeight="1">
      <c r="B42" s="56"/>
      <c r="C42" s="307"/>
      <c r="D42" s="310"/>
      <c r="E42" s="311"/>
      <c r="F42" s="100">
        <v>44000.271009525459</v>
      </c>
      <c r="G42" s="306">
        <v>30</v>
      </c>
      <c r="H42" s="314"/>
      <c r="I42" s="306">
        <v>4094560</v>
      </c>
      <c r="J42" s="314"/>
      <c r="K42" s="101">
        <v>29997</v>
      </c>
      <c r="L42" s="102">
        <v>8290</v>
      </c>
      <c r="M42" s="102">
        <v>248700</v>
      </c>
      <c r="N42" s="102">
        <v>7906.5</v>
      </c>
      <c r="O42" s="102">
        <v>237195</v>
      </c>
      <c r="P42" s="306" t="s">
        <v>58</v>
      </c>
      <c r="Q42" s="315"/>
      <c r="R42" s="314"/>
      <c r="S42" s="306" t="s">
        <v>231</v>
      </c>
      <c r="T42" s="314"/>
      <c r="U42" s="57"/>
    </row>
    <row r="43" spans="2:21" ht="13.5" customHeight="1">
      <c r="B43" s="56"/>
      <c r="C43" s="307"/>
      <c r="D43" s="310"/>
      <c r="E43" s="311"/>
      <c r="F43" s="100">
        <v>44012.435375347217</v>
      </c>
      <c r="G43" s="306">
        <v>30</v>
      </c>
      <c r="H43" s="314"/>
      <c r="I43" s="306">
        <v>4100709</v>
      </c>
      <c r="J43" s="314"/>
      <c r="K43" s="101">
        <v>30422</v>
      </c>
      <c r="L43" s="102">
        <v>8290</v>
      </c>
      <c r="M43" s="102">
        <v>248700</v>
      </c>
      <c r="N43" s="102">
        <v>7906.5</v>
      </c>
      <c r="O43" s="102">
        <v>237195</v>
      </c>
      <c r="P43" s="306" t="s">
        <v>58</v>
      </c>
      <c r="Q43" s="315"/>
      <c r="R43" s="314"/>
      <c r="S43" s="306" t="s">
        <v>231</v>
      </c>
      <c r="T43" s="314"/>
      <c r="U43" s="57"/>
    </row>
    <row r="44" spans="2:21" ht="13.5" customHeight="1">
      <c r="B44" s="56"/>
      <c r="C44" s="307"/>
      <c r="D44" s="310"/>
      <c r="E44" s="311"/>
      <c r="F44" s="100">
        <v>44025.538541932867</v>
      </c>
      <c r="G44" s="306">
        <v>30</v>
      </c>
      <c r="H44" s="314"/>
      <c r="I44" s="306">
        <v>4108081</v>
      </c>
      <c r="J44" s="314"/>
      <c r="K44" s="101">
        <v>30690</v>
      </c>
      <c r="L44" s="102">
        <v>8390</v>
      </c>
      <c r="M44" s="102">
        <v>251700</v>
      </c>
      <c r="N44" s="102">
        <v>7756.5</v>
      </c>
      <c r="O44" s="102">
        <v>232695</v>
      </c>
      <c r="P44" s="306" t="s">
        <v>58</v>
      </c>
      <c r="Q44" s="315"/>
      <c r="R44" s="314"/>
      <c r="S44" s="306" t="s">
        <v>231</v>
      </c>
      <c r="T44" s="314"/>
      <c r="U44" s="57"/>
    </row>
    <row r="45" spans="2:21" ht="13.5" customHeight="1">
      <c r="B45" s="56"/>
      <c r="C45" s="307"/>
      <c r="D45" s="310"/>
      <c r="E45" s="311"/>
      <c r="F45" s="100">
        <v>44031.365772916666</v>
      </c>
      <c r="G45" s="306">
        <v>20</v>
      </c>
      <c r="H45" s="314"/>
      <c r="I45" s="306">
        <v>4110306</v>
      </c>
      <c r="J45" s="314"/>
      <c r="K45" s="101">
        <v>31031</v>
      </c>
      <c r="L45" s="102">
        <v>8390</v>
      </c>
      <c r="M45" s="102">
        <v>167800</v>
      </c>
      <c r="N45" s="102">
        <v>7756.5</v>
      </c>
      <c r="O45" s="102">
        <v>155130</v>
      </c>
      <c r="P45" s="306" t="s">
        <v>58</v>
      </c>
      <c r="Q45" s="315"/>
      <c r="R45" s="314"/>
      <c r="S45" s="306" t="s">
        <v>231</v>
      </c>
      <c r="T45" s="314"/>
      <c r="U45" s="57"/>
    </row>
    <row r="46" spans="2:21" ht="13.5" customHeight="1">
      <c r="B46" s="56"/>
      <c r="C46" s="307"/>
      <c r="D46" s="310"/>
      <c r="E46" s="311"/>
      <c r="F46" s="100">
        <v>44039.562967280093</v>
      </c>
      <c r="G46" s="306">
        <v>30</v>
      </c>
      <c r="H46" s="314"/>
      <c r="I46" s="306">
        <v>4113233</v>
      </c>
      <c r="J46" s="314"/>
      <c r="K46" s="101">
        <v>31313</v>
      </c>
      <c r="L46" s="102">
        <v>8390</v>
      </c>
      <c r="M46" s="102">
        <v>251700</v>
      </c>
      <c r="N46" s="102">
        <v>7756.5</v>
      </c>
      <c r="O46" s="102">
        <v>232695</v>
      </c>
      <c r="P46" s="306" t="s">
        <v>58</v>
      </c>
      <c r="Q46" s="315"/>
      <c r="R46" s="314"/>
      <c r="S46" s="306" t="s">
        <v>231</v>
      </c>
      <c r="T46" s="314"/>
      <c r="U46" s="57"/>
    </row>
    <row r="47" spans="2:21" ht="13.5" customHeight="1">
      <c r="B47" s="56"/>
      <c r="C47" s="307"/>
      <c r="D47" s="310"/>
      <c r="E47" s="311"/>
      <c r="F47" s="100">
        <v>44055.378814965276</v>
      </c>
      <c r="G47" s="306">
        <v>30</v>
      </c>
      <c r="H47" s="314"/>
      <c r="I47" s="306">
        <v>4121062</v>
      </c>
      <c r="J47" s="314"/>
      <c r="K47" s="101">
        <v>31674</v>
      </c>
      <c r="L47" s="102">
        <v>8290</v>
      </c>
      <c r="M47" s="102">
        <v>248700</v>
      </c>
      <c r="N47" s="102">
        <v>7756.5</v>
      </c>
      <c r="O47" s="102">
        <v>232695</v>
      </c>
      <c r="P47" s="306" t="s">
        <v>58</v>
      </c>
      <c r="Q47" s="315"/>
      <c r="R47" s="314"/>
      <c r="S47" s="306" t="s">
        <v>231</v>
      </c>
      <c r="T47" s="314"/>
      <c r="U47" s="57"/>
    </row>
    <row r="48" spans="2:21" ht="13.5" customHeight="1">
      <c r="B48" s="56"/>
      <c r="C48" s="307"/>
      <c r="D48" s="310"/>
      <c r="E48" s="311"/>
      <c r="F48" s="100">
        <v>44073.375737465278</v>
      </c>
      <c r="G48" s="306">
        <v>30</v>
      </c>
      <c r="H48" s="314"/>
      <c r="I48" s="306">
        <v>4130057</v>
      </c>
      <c r="J48" s="314"/>
      <c r="K48" s="101">
        <v>32014</v>
      </c>
      <c r="L48" s="102">
        <v>8290</v>
      </c>
      <c r="M48" s="102">
        <v>248700</v>
      </c>
      <c r="N48" s="102">
        <v>7756.5</v>
      </c>
      <c r="O48" s="102">
        <v>232695</v>
      </c>
      <c r="P48" s="306" t="s">
        <v>58</v>
      </c>
      <c r="Q48" s="315"/>
      <c r="R48" s="314"/>
      <c r="S48" s="306" t="s">
        <v>231</v>
      </c>
      <c r="T48" s="314"/>
      <c r="U48" s="57"/>
    </row>
    <row r="49" spans="2:21" ht="13.5" customHeight="1">
      <c r="B49" s="56"/>
      <c r="C49" s="307"/>
      <c r="D49" s="310"/>
      <c r="E49" s="311"/>
      <c r="F49" s="100">
        <v>44093.51398506944</v>
      </c>
      <c r="G49" s="306">
        <v>30</v>
      </c>
      <c r="H49" s="314"/>
      <c r="I49" s="306">
        <v>4141358</v>
      </c>
      <c r="J49" s="314"/>
      <c r="K49" s="101">
        <v>32401</v>
      </c>
      <c r="L49" s="102">
        <v>8290</v>
      </c>
      <c r="M49" s="102">
        <v>248700</v>
      </c>
      <c r="N49" s="102">
        <v>7756.5</v>
      </c>
      <c r="O49" s="102">
        <v>232695</v>
      </c>
      <c r="P49" s="306" t="s">
        <v>58</v>
      </c>
      <c r="Q49" s="315"/>
      <c r="R49" s="314"/>
      <c r="S49" s="306" t="s">
        <v>231</v>
      </c>
      <c r="T49" s="314"/>
      <c r="U49" s="57"/>
    </row>
    <row r="50" spans="2:21" ht="13.5" customHeight="1">
      <c r="B50" s="56"/>
      <c r="C50" s="308"/>
      <c r="D50" s="312"/>
      <c r="E50" s="313"/>
      <c r="F50" s="100">
        <v>44108.781195752315</v>
      </c>
      <c r="G50" s="306">
        <v>30</v>
      </c>
      <c r="H50" s="314"/>
      <c r="I50" s="306">
        <v>4150148</v>
      </c>
      <c r="J50" s="314"/>
      <c r="K50" s="101">
        <v>32780</v>
      </c>
      <c r="L50" s="102">
        <v>8290</v>
      </c>
      <c r="M50" s="102">
        <v>248700</v>
      </c>
      <c r="N50" s="102">
        <v>7756.5</v>
      </c>
      <c r="O50" s="102">
        <v>232695</v>
      </c>
      <c r="P50" s="306" t="s">
        <v>58</v>
      </c>
      <c r="Q50" s="315"/>
      <c r="R50" s="314"/>
      <c r="S50" s="306" t="s">
        <v>231</v>
      </c>
      <c r="T50" s="314"/>
      <c r="U50" s="57"/>
    </row>
    <row r="51" spans="2:21" ht="13.5" customHeight="1">
      <c r="B51" s="56"/>
      <c r="C51" s="306" t="s">
        <v>63</v>
      </c>
      <c r="D51" s="306"/>
      <c r="E51" s="309"/>
      <c r="F51" s="100">
        <v>43832.777443784718</v>
      </c>
      <c r="G51" s="306">
        <v>23.718000411987305</v>
      </c>
      <c r="H51" s="314"/>
      <c r="I51" s="306">
        <v>3994777</v>
      </c>
      <c r="J51" s="314"/>
      <c r="K51" s="101">
        <v>209077</v>
      </c>
      <c r="L51" s="102">
        <v>9260</v>
      </c>
      <c r="M51" s="102">
        <v>219629</v>
      </c>
      <c r="N51" s="102">
        <v>9238.43</v>
      </c>
      <c r="O51" s="102">
        <v>219117.08</v>
      </c>
      <c r="P51" s="306" t="s">
        <v>64</v>
      </c>
      <c r="Q51" s="315"/>
      <c r="R51" s="314"/>
      <c r="S51" s="306" t="s">
        <v>231</v>
      </c>
      <c r="T51" s="314"/>
      <c r="U51" s="57"/>
    </row>
    <row r="52" spans="2:21" ht="13.5" customHeight="1">
      <c r="B52" s="56"/>
      <c r="C52" s="307"/>
      <c r="D52" s="310"/>
      <c r="E52" s="311"/>
      <c r="F52" s="100">
        <v>43839.408444479166</v>
      </c>
      <c r="G52" s="306">
        <v>13.798000335693359</v>
      </c>
      <c r="H52" s="314"/>
      <c r="I52" s="306">
        <v>3999583</v>
      </c>
      <c r="J52" s="314"/>
      <c r="K52" s="101">
        <v>209303</v>
      </c>
      <c r="L52" s="102">
        <v>9260</v>
      </c>
      <c r="M52" s="102">
        <v>127769</v>
      </c>
      <c r="N52" s="102">
        <v>9238.43</v>
      </c>
      <c r="O52" s="102">
        <v>127471.86</v>
      </c>
      <c r="P52" s="306" t="s">
        <v>64</v>
      </c>
      <c r="Q52" s="315"/>
      <c r="R52" s="314"/>
      <c r="S52" s="306" t="s">
        <v>231</v>
      </c>
      <c r="T52" s="314"/>
      <c r="U52" s="57"/>
    </row>
    <row r="53" spans="2:21" ht="13.5" customHeight="1">
      <c r="B53" s="56"/>
      <c r="C53" s="307"/>
      <c r="D53" s="310"/>
      <c r="E53" s="311"/>
      <c r="F53" s="100">
        <v>43844.339364155094</v>
      </c>
      <c r="G53" s="306">
        <v>15.692000389099121</v>
      </c>
      <c r="H53" s="314"/>
      <c r="I53" s="306">
        <v>4003813</v>
      </c>
      <c r="J53" s="314"/>
      <c r="K53" s="101">
        <v>209581</v>
      </c>
      <c r="L53" s="102">
        <v>9260</v>
      </c>
      <c r="M53" s="102">
        <v>145308</v>
      </c>
      <c r="N53" s="102">
        <v>9238.43</v>
      </c>
      <c r="O53" s="102">
        <v>144969.44</v>
      </c>
      <c r="P53" s="306" t="s">
        <v>64</v>
      </c>
      <c r="Q53" s="315"/>
      <c r="R53" s="314"/>
      <c r="S53" s="306" t="s">
        <v>231</v>
      </c>
      <c r="T53" s="314"/>
      <c r="U53" s="57"/>
    </row>
    <row r="54" spans="2:21" ht="13.5" customHeight="1">
      <c r="B54" s="56"/>
      <c r="C54" s="307"/>
      <c r="D54" s="310"/>
      <c r="E54" s="311"/>
      <c r="F54" s="100">
        <v>43846.812519826388</v>
      </c>
      <c r="G54" s="306">
        <v>17.077999114990234</v>
      </c>
      <c r="H54" s="314"/>
      <c r="I54" s="306">
        <v>4006365</v>
      </c>
      <c r="J54" s="314"/>
      <c r="K54" s="101">
        <v>209900</v>
      </c>
      <c r="L54" s="102">
        <v>9260</v>
      </c>
      <c r="M54" s="102">
        <v>158142</v>
      </c>
      <c r="N54" s="102">
        <v>9238.43</v>
      </c>
      <c r="O54" s="102">
        <v>157773.89000000001</v>
      </c>
      <c r="P54" s="306" t="s">
        <v>64</v>
      </c>
      <c r="Q54" s="315"/>
      <c r="R54" s="314"/>
      <c r="S54" s="306" t="s">
        <v>231</v>
      </c>
      <c r="T54" s="314"/>
      <c r="U54" s="57"/>
    </row>
    <row r="55" spans="2:21" ht="13.5" customHeight="1">
      <c r="B55" s="56"/>
      <c r="C55" s="307"/>
      <c r="D55" s="310"/>
      <c r="E55" s="311"/>
      <c r="F55" s="100">
        <v>43851.646841203699</v>
      </c>
      <c r="G55" s="306">
        <v>13.157999992370605</v>
      </c>
      <c r="H55" s="314"/>
      <c r="I55" s="306">
        <v>4010957</v>
      </c>
      <c r="J55" s="314"/>
      <c r="K55" s="101">
        <v>210147</v>
      </c>
      <c r="L55" s="102">
        <v>9260</v>
      </c>
      <c r="M55" s="102">
        <v>121843</v>
      </c>
      <c r="N55" s="102">
        <v>9238.43</v>
      </c>
      <c r="O55" s="102">
        <v>121559.26</v>
      </c>
      <c r="P55" s="306" t="s">
        <v>64</v>
      </c>
      <c r="Q55" s="315"/>
      <c r="R55" s="314"/>
      <c r="S55" s="306" t="s">
        <v>231</v>
      </c>
      <c r="T55" s="314"/>
      <c r="U55" s="57"/>
    </row>
    <row r="56" spans="2:21" ht="13.5" customHeight="1">
      <c r="B56" s="56"/>
      <c r="C56" s="307"/>
      <c r="D56" s="310"/>
      <c r="E56" s="311"/>
      <c r="F56" s="100">
        <v>43858.326531979168</v>
      </c>
      <c r="G56" s="306">
        <v>16.454000473022461</v>
      </c>
      <c r="H56" s="314"/>
      <c r="I56" s="306">
        <v>4017224</v>
      </c>
      <c r="J56" s="314"/>
      <c r="K56" s="101">
        <v>210412</v>
      </c>
      <c r="L56" s="102">
        <v>9260</v>
      </c>
      <c r="M56" s="102">
        <v>152364</v>
      </c>
      <c r="N56" s="102">
        <v>9238.43</v>
      </c>
      <c r="O56" s="102">
        <v>152009.13</v>
      </c>
      <c r="P56" s="306" t="s">
        <v>64</v>
      </c>
      <c r="Q56" s="315"/>
      <c r="R56" s="314"/>
      <c r="S56" s="306" t="s">
        <v>231</v>
      </c>
      <c r="T56" s="314"/>
      <c r="U56" s="57"/>
    </row>
    <row r="57" spans="2:21" s="58" customFormat="1" ht="13.5" customHeight="1">
      <c r="B57" s="59"/>
      <c r="C57" s="307"/>
      <c r="D57" s="310"/>
      <c r="E57" s="311"/>
      <c r="F57" s="100">
        <v>43866.265706099533</v>
      </c>
      <c r="G57" s="306">
        <v>15.315999984741211</v>
      </c>
      <c r="H57" s="314"/>
      <c r="I57" s="306">
        <v>4025123</v>
      </c>
      <c r="J57" s="314"/>
      <c r="K57" s="101">
        <v>210686</v>
      </c>
      <c r="L57" s="102">
        <v>9260</v>
      </c>
      <c r="M57" s="102">
        <v>141826</v>
      </c>
      <c r="N57" s="102">
        <v>9238.43</v>
      </c>
      <c r="O57" s="102">
        <v>141495.78</v>
      </c>
      <c r="P57" s="306" t="s">
        <v>64</v>
      </c>
      <c r="Q57" s="315"/>
      <c r="R57" s="314"/>
      <c r="S57" s="306" t="s">
        <v>231</v>
      </c>
      <c r="T57" s="314"/>
      <c r="U57" s="60"/>
    </row>
    <row r="58" spans="2:21" ht="13.5" customHeight="1">
      <c r="B58" s="56"/>
      <c r="C58" s="307"/>
      <c r="D58" s="310"/>
      <c r="E58" s="311"/>
      <c r="F58" s="100">
        <v>43873.426198113426</v>
      </c>
      <c r="G58" s="306">
        <v>13.121000289916992</v>
      </c>
      <c r="H58" s="314"/>
      <c r="I58" s="306">
        <v>4031815</v>
      </c>
      <c r="J58" s="314"/>
      <c r="K58" s="101">
        <v>210952</v>
      </c>
      <c r="L58" s="102">
        <v>9260</v>
      </c>
      <c r="M58" s="102">
        <v>121500</v>
      </c>
      <c r="N58" s="102">
        <v>9238.43</v>
      </c>
      <c r="O58" s="102">
        <v>121217.44</v>
      </c>
      <c r="P58" s="306" t="s">
        <v>64</v>
      </c>
      <c r="Q58" s="315"/>
      <c r="R58" s="314"/>
      <c r="S58" s="306" t="s">
        <v>231</v>
      </c>
      <c r="T58" s="314"/>
      <c r="U58" s="57"/>
    </row>
    <row r="59" spans="2:21" ht="13.5" customHeight="1">
      <c r="B59" s="56"/>
      <c r="C59" s="307"/>
      <c r="D59" s="310"/>
      <c r="E59" s="311"/>
      <c r="F59" s="100">
        <v>43878.766996377315</v>
      </c>
      <c r="G59" s="306">
        <v>15.118000030517578</v>
      </c>
      <c r="H59" s="314"/>
      <c r="I59" s="306">
        <v>4037215</v>
      </c>
      <c r="J59" s="314"/>
      <c r="K59" s="101">
        <v>211227</v>
      </c>
      <c r="L59" s="102">
        <v>9260</v>
      </c>
      <c r="M59" s="102">
        <v>139993</v>
      </c>
      <c r="N59" s="102">
        <v>9238.43</v>
      </c>
      <c r="O59" s="102">
        <v>139666.57999999999</v>
      </c>
      <c r="P59" s="306" t="s">
        <v>64</v>
      </c>
      <c r="Q59" s="315"/>
      <c r="R59" s="314"/>
      <c r="S59" s="306" t="s">
        <v>231</v>
      </c>
      <c r="T59" s="314"/>
      <c r="U59" s="57"/>
    </row>
    <row r="60" spans="2:21" ht="13.5" customHeight="1">
      <c r="B60" s="56"/>
      <c r="C60" s="307"/>
      <c r="D60" s="310"/>
      <c r="E60" s="311"/>
      <c r="F60" s="100">
        <v>43882.885905011572</v>
      </c>
      <c r="G60" s="306">
        <v>15.559000015258789</v>
      </c>
      <c r="H60" s="314"/>
      <c r="I60" s="306">
        <v>4041396</v>
      </c>
      <c r="J60" s="314"/>
      <c r="K60" s="101">
        <v>211556</v>
      </c>
      <c r="L60" s="102">
        <v>9260</v>
      </c>
      <c r="M60" s="102">
        <v>144076</v>
      </c>
      <c r="N60" s="102">
        <v>9238.43</v>
      </c>
      <c r="O60" s="102">
        <v>143740.73000000001</v>
      </c>
      <c r="P60" s="306" t="s">
        <v>64</v>
      </c>
      <c r="Q60" s="315"/>
      <c r="R60" s="314"/>
      <c r="S60" s="306" t="s">
        <v>231</v>
      </c>
      <c r="T60" s="314"/>
      <c r="U60" s="57"/>
    </row>
    <row r="61" spans="2:21" ht="13.5" customHeight="1">
      <c r="B61" s="56"/>
      <c r="C61" s="307"/>
      <c r="D61" s="310"/>
      <c r="E61" s="311"/>
      <c r="F61" s="100">
        <v>43887.492801076391</v>
      </c>
      <c r="G61" s="306">
        <v>18.166999816894531</v>
      </c>
      <c r="H61" s="314"/>
      <c r="I61" s="306">
        <v>4045605</v>
      </c>
      <c r="J61" s="314"/>
      <c r="K61" s="101">
        <v>211797</v>
      </c>
      <c r="L61" s="102">
        <v>9260</v>
      </c>
      <c r="M61" s="102">
        <v>168226</v>
      </c>
      <c r="N61" s="102">
        <v>9238.43</v>
      </c>
      <c r="O61" s="102">
        <v>167834.55</v>
      </c>
      <c r="P61" s="306" t="s">
        <v>64</v>
      </c>
      <c r="Q61" s="315"/>
      <c r="R61" s="314"/>
      <c r="S61" s="306" t="s">
        <v>231</v>
      </c>
      <c r="T61" s="314"/>
      <c r="U61" s="57"/>
    </row>
    <row r="62" spans="2:21" ht="13.5" customHeight="1">
      <c r="B62" s="56"/>
      <c r="C62" s="307"/>
      <c r="D62" s="310"/>
      <c r="E62" s="311"/>
      <c r="F62" s="100">
        <v>43890.319768865738</v>
      </c>
      <c r="G62" s="306">
        <v>12.555000305175781</v>
      </c>
      <c r="H62" s="314"/>
      <c r="I62" s="306">
        <v>4048437</v>
      </c>
      <c r="J62" s="314"/>
      <c r="K62" s="101">
        <v>212037</v>
      </c>
      <c r="L62" s="102">
        <v>9260</v>
      </c>
      <c r="M62" s="102">
        <v>116259</v>
      </c>
      <c r="N62" s="102">
        <v>9238.43</v>
      </c>
      <c r="O62" s="102">
        <v>115988.48</v>
      </c>
      <c r="P62" s="306" t="s">
        <v>64</v>
      </c>
      <c r="Q62" s="315"/>
      <c r="R62" s="314"/>
      <c r="S62" s="306" t="s">
        <v>231</v>
      </c>
      <c r="T62" s="314"/>
      <c r="U62" s="57"/>
    </row>
    <row r="63" spans="2:21" ht="13.5" customHeight="1">
      <c r="B63" s="56"/>
      <c r="C63" s="307"/>
      <c r="D63" s="310"/>
      <c r="E63" s="311"/>
      <c r="F63" s="100">
        <v>43895.388954594906</v>
      </c>
      <c r="G63" s="306">
        <v>18.955999374389648</v>
      </c>
      <c r="H63" s="314"/>
      <c r="I63" s="306">
        <v>4053577</v>
      </c>
      <c r="J63" s="314"/>
      <c r="K63" s="101">
        <v>212395</v>
      </c>
      <c r="L63" s="102">
        <v>9260</v>
      </c>
      <c r="M63" s="102">
        <v>175533</v>
      </c>
      <c r="N63" s="102">
        <v>9223.2800000000007</v>
      </c>
      <c r="O63" s="102">
        <v>174836.5</v>
      </c>
      <c r="P63" s="306" t="s">
        <v>64</v>
      </c>
      <c r="Q63" s="315"/>
      <c r="R63" s="314"/>
      <c r="S63" s="306" t="s">
        <v>231</v>
      </c>
      <c r="T63" s="314"/>
      <c r="U63" s="57"/>
    </row>
    <row r="64" spans="2:21" ht="13.5" customHeight="1">
      <c r="B64" s="56"/>
      <c r="C64" s="307"/>
      <c r="D64" s="310"/>
      <c r="E64" s="311"/>
      <c r="F64" s="100">
        <v>43900.371354398143</v>
      </c>
      <c r="G64" s="306">
        <v>18.384000778198242</v>
      </c>
      <c r="H64" s="314"/>
      <c r="I64" s="306">
        <v>4058154</v>
      </c>
      <c r="J64" s="314"/>
      <c r="K64" s="101">
        <v>212748</v>
      </c>
      <c r="L64" s="102">
        <v>9260</v>
      </c>
      <c r="M64" s="102">
        <v>170236</v>
      </c>
      <c r="N64" s="102">
        <v>9223.2800000000007</v>
      </c>
      <c r="O64" s="102">
        <v>169560.8</v>
      </c>
      <c r="P64" s="306" t="s">
        <v>64</v>
      </c>
      <c r="Q64" s="315"/>
      <c r="R64" s="314"/>
      <c r="S64" s="306" t="s">
        <v>231</v>
      </c>
      <c r="T64" s="314"/>
      <c r="U64" s="57"/>
    </row>
    <row r="65" spans="2:21" ht="13.5" customHeight="1">
      <c r="B65" s="56"/>
      <c r="C65" s="307"/>
      <c r="D65" s="310"/>
      <c r="E65" s="311"/>
      <c r="F65" s="100">
        <v>43906.409532835649</v>
      </c>
      <c r="G65" s="306">
        <v>16.089000701904297</v>
      </c>
      <c r="H65" s="314"/>
      <c r="I65" s="306">
        <v>4063307</v>
      </c>
      <c r="J65" s="314"/>
      <c r="K65" s="101">
        <v>213014</v>
      </c>
      <c r="L65" s="102">
        <v>9260</v>
      </c>
      <c r="M65" s="102">
        <v>148984</v>
      </c>
      <c r="N65" s="102">
        <v>9096.7999999999993</v>
      </c>
      <c r="O65" s="102">
        <v>146358.42000000001</v>
      </c>
      <c r="P65" s="306" t="s">
        <v>64</v>
      </c>
      <c r="Q65" s="315"/>
      <c r="R65" s="314"/>
      <c r="S65" s="306" t="s">
        <v>231</v>
      </c>
      <c r="T65" s="314"/>
      <c r="U65" s="57"/>
    </row>
    <row r="66" spans="2:21" ht="13.5" customHeight="1">
      <c r="B66" s="56"/>
      <c r="C66" s="307"/>
      <c r="D66" s="310"/>
      <c r="E66" s="311"/>
      <c r="F66" s="100">
        <v>43909.789447951385</v>
      </c>
      <c r="G66" s="306">
        <v>14.256999969482422</v>
      </c>
      <c r="H66" s="314"/>
      <c r="I66" s="306">
        <v>4065912</v>
      </c>
      <c r="J66" s="314"/>
      <c r="K66" s="101">
        <v>213248</v>
      </c>
      <c r="L66" s="102">
        <v>9260</v>
      </c>
      <c r="M66" s="102">
        <v>132020</v>
      </c>
      <c r="N66" s="102">
        <v>9096.7999999999993</v>
      </c>
      <c r="O66" s="102">
        <v>129693.08</v>
      </c>
      <c r="P66" s="306" t="s">
        <v>64</v>
      </c>
      <c r="Q66" s="315"/>
      <c r="R66" s="314"/>
      <c r="S66" s="306" t="s">
        <v>231</v>
      </c>
      <c r="T66" s="314"/>
      <c r="U66" s="57"/>
    </row>
    <row r="67" spans="2:21" ht="13.5" customHeight="1">
      <c r="B67" s="56"/>
      <c r="C67" s="307"/>
      <c r="D67" s="310"/>
      <c r="E67" s="311"/>
      <c r="F67" s="100">
        <v>43923.382882025464</v>
      </c>
      <c r="G67" s="306">
        <v>9.3590002059936523</v>
      </c>
      <c r="H67" s="314"/>
      <c r="I67" s="306">
        <v>4068238</v>
      </c>
      <c r="J67" s="314"/>
      <c r="K67" s="101">
        <v>213410</v>
      </c>
      <c r="L67" s="102">
        <v>8440</v>
      </c>
      <c r="M67" s="102">
        <v>78990</v>
      </c>
      <c r="N67" s="102">
        <v>7806.8</v>
      </c>
      <c r="O67" s="102">
        <v>73063.839999999997</v>
      </c>
      <c r="P67" s="306" t="s">
        <v>64</v>
      </c>
      <c r="Q67" s="315"/>
      <c r="R67" s="314"/>
      <c r="S67" s="306" t="s">
        <v>231</v>
      </c>
      <c r="T67" s="314"/>
      <c r="U67" s="57"/>
    </row>
    <row r="68" spans="2:21" ht="13.5" customHeight="1">
      <c r="B68" s="56"/>
      <c r="C68" s="307"/>
      <c r="D68" s="310"/>
      <c r="E68" s="311"/>
      <c r="F68" s="100">
        <v>43939.362123032406</v>
      </c>
      <c r="G68" s="306">
        <v>17.000999450683594</v>
      </c>
      <c r="H68" s="314"/>
      <c r="I68" s="306">
        <v>4071254</v>
      </c>
      <c r="J68" s="314"/>
      <c r="K68" s="101">
        <v>213700</v>
      </c>
      <c r="L68" s="102">
        <v>8390</v>
      </c>
      <c r="M68" s="102">
        <v>142638</v>
      </c>
      <c r="N68" s="102">
        <v>7806.8</v>
      </c>
      <c r="O68" s="102">
        <v>132723.41</v>
      </c>
      <c r="P68" s="306" t="s">
        <v>64</v>
      </c>
      <c r="Q68" s="315"/>
      <c r="R68" s="314"/>
      <c r="S68" s="306" t="s">
        <v>231</v>
      </c>
      <c r="T68" s="314"/>
      <c r="U68" s="57"/>
    </row>
    <row r="69" spans="2:21" ht="13.5" customHeight="1">
      <c r="B69" s="56"/>
      <c r="C69" s="307"/>
      <c r="D69" s="310"/>
      <c r="E69" s="311"/>
      <c r="F69" s="100">
        <v>43942.37476450231</v>
      </c>
      <c r="G69" s="306">
        <v>10.286999702453613</v>
      </c>
      <c r="H69" s="314"/>
      <c r="I69" s="306">
        <v>4071879</v>
      </c>
      <c r="J69" s="314"/>
      <c r="K69" s="101">
        <v>213938</v>
      </c>
      <c r="L69" s="102">
        <v>8390</v>
      </c>
      <c r="M69" s="102">
        <v>86308</v>
      </c>
      <c r="N69" s="102">
        <v>7806.8</v>
      </c>
      <c r="O69" s="102">
        <v>80308.55</v>
      </c>
      <c r="P69" s="306" t="s">
        <v>64</v>
      </c>
      <c r="Q69" s="315"/>
      <c r="R69" s="314"/>
      <c r="S69" s="306" t="s">
        <v>231</v>
      </c>
      <c r="T69" s="314"/>
      <c r="U69" s="57"/>
    </row>
    <row r="70" spans="2:21" s="58" customFormat="1" ht="13.5" customHeight="1">
      <c r="B70" s="59"/>
      <c r="C70" s="307"/>
      <c r="D70" s="310"/>
      <c r="E70" s="311"/>
      <c r="F70" s="100">
        <v>43946.315798611111</v>
      </c>
      <c r="G70" s="306">
        <v>16.038999557495117</v>
      </c>
      <c r="H70" s="314"/>
      <c r="I70" s="306">
        <v>4073007</v>
      </c>
      <c r="J70" s="314"/>
      <c r="K70" s="101">
        <v>214250</v>
      </c>
      <c r="L70" s="102">
        <v>8390</v>
      </c>
      <c r="M70" s="102">
        <v>134567</v>
      </c>
      <c r="N70" s="102">
        <v>7806.8</v>
      </c>
      <c r="O70" s="102">
        <v>125213.26</v>
      </c>
      <c r="P70" s="306" t="s">
        <v>64</v>
      </c>
      <c r="Q70" s="315"/>
      <c r="R70" s="314"/>
      <c r="S70" s="306" t="s">
        <v>231</v>
      </c>
      <c r="T70" s="314"/>
      <c r="U70" s="60"/>
    </row>
    <row r="71" spans="2:21" ht="13.5" customHeight="1">
      <c r="B71" s="56"/>
      <c r="C71" s="307"/>
      <c r="D71" s="310"/>
      <c r="E71" s="311"/>
      <c r="F71" s="100">
        <v>43950.904860150462</v>
      </c>
      <c r="G71" s="306">
        <v>16.722000122070313</v>
      </c>
      <c r="H71" s="314"/>
      <c r="I71" s="306">
        <v>4074401</v>
      </c>
      <c r="J71" s="314"/>
      <c r="K71" s="101">
        <v>214564</v>
      </c>
      <c r="L71" s="102">
        <v>8390</v>
      </c>
      <c r="M71" s="102">
        <v>140298</v>
      </c>
      <c r="N71" s="102">
        <v>7806.8</v>
      </c>
      <c r="O71" s="102">
        <v>130545.3</v>
      </c>
      <c r="P71" s="306" t="s">
        <v>64</v>
      </c>
      <c r="Q71" s="315"/>
      <c r="R71" s="314"/>
      <c r="S71" s="306" t="s">
        <v>231</v>
      </c>
      <c r="T71" s="314"/>
      <c r="U71" s="57"/>
    </row>
    <row r="72" spans="2:21" ht="13.5" customHeight="1">
      <c r="B72" s="56"/>
      <c r="C72" s="307"/>
      <c r="D72" s="310"/>
      <c r="E72" s="311"/>
      <c r="F72" s="100">
        <v>43955.294217476847</v>
      </c>
      <c r="G72" s="306">
        <v>14.951000213623047</v>
      </c>
      <c r="H72" s="314"/>
      <c r="I72" s="306">
        <v>4075590</v>
      </c>
      <c r="J72" s="314"/>
      <c r="K72" s="101">
        <v>214850</v>
      </c>
      <c r="L72" s="102">
        <v>8390</v>
      </c>
      <c r="M72" s="102">
        <v>125439</v>
      </c>
      <c r="N72" s="102">
        <v>7806.8</v>
      </c>
      <c r="O72" s="102">
        <v>116719.47</v>
      </c>
      <c r="P72" s="306" t="s">
        <v>64</v>
      </c>
      <c r="Q72" s="315"/>
      <c r="R72" s="314"/>
      <c r="S72" s="306" t="s">
        <v>231</v>
      </c>
      <c r="T72" s="314"/>
      <c r="U72" s="57"/>
    </row>
    <row r="73" spans="2:21" ht="13.5" customHeight="1">
      <c r="B73" s="56"/>
      <c r="C73" s="307"/>
      <c r="D73" s="310"/>
      <c r="E73" s="311"/>
      <c r="F73" s="100">
        <v>43959.456157256944</v>
      </c>
      <c r="G73" s="306">
        <v>18.472999572753906</v>
      </c>
      <c r="H73" s="314"/>
      <c r="I73" s="306">
        <v>4077136</v>
      </c>
      <c r="J73" s="314"/>
      <c r="K73" s="101">
        <v>215100</v>
      </c>
      <c r="L73" s="102">
        <v>8390</v>
      </c>
      <c r="M73" s="102">
        <v>154988</v>
      </c>
      <c r="N73" s="102">
        <v>7806.8</v>
      </c>
      <c r="O73" s="102">
        <v>144215.01999999999</v>
      </c>
      <c r="P73" s="306" t="s">
        <v>64</v>
      </c>
      <c r="Q73" s="315"/>
      <c r="R73" s="314"/>
      <c r="S73" s="306" t="s">
        <v>231</v>
      </c>
      <c r="T73" s="314"/>
      <c r="U73" s="57"/>
    </row>
    <row r="74" spans="2:21" ht="13.5" customHeight="1">
      <c r="B74" s="56"/>
      <c r="C74" s="307"/>
      <c r="D74" s="310"/>
      <c r="E74" s="311"/>
      <c r="F74" s="100">
        <v>43964.358890543983</v>
      </c>
      <c r="G74" s="306">
        <v>17.415000915527344</v>
      </c>
      <c r="H74" s="314"/>
      <c r="I74" s="306">
        <v>4078937</v>
      </c>
      <c r="J74" s="314"/>
      <c r="K74" s="101">
        <v>215460</v>
      </c>
      <c r="L74" s="102">
        <v>8390</v>
      </c>
      <c r="M74" s="102">
        <v>146112</v>
      </c>
      <c r="N74" s="102">
        <v>7806.8</v>
      </c>
      <c r="O74" s="102">
        <v>135955.42000000001</v>
      </c>
      <c r="P74" s="306" t="s">
        <v>64</v>
      </c>
      <c r="Q74" s="315"/>
      <c r="R74" s="314"/>
      <c r="S74" s="306" t="s">
        <v>231</v>
      </c>
      <c r="T74" s="314"/>
      <c r="U74" s="57"/>
    </row>
    <row r="75" spans="2:21" ht="13.5" customHeight="1">
      <c r="B75" s="56"/>
      <c r="C75" s="307"/>
      <c r="D75" s="310"/>
      <c r="E75" s="311"/>
      <c r="F75" s="100">
        <v>43967.616492210647</v>
      </c>
      <c r="G75" s="306">
        <v>20</v>
      </c>
      <c r="H75" s="314"/>
      <c r="I75" s="306">
        <v>4080286</v>
      </c>
      <c r="J75" s="314"/>
      <c r="K75" s="101">
        <v>215630</v>
      </c>
      <c r="L75" s="102">
        <v>8390</v>
      </c>
      <c r="M75" s="102">
        <v>167800</v>
      </c>
      <c r="N75" s="102">
        <v>7806.8</v>
      </c>
      <c r="O75" s="102">
        <v>156136</v>
      </c>
      <c r="P75" s="306" t="s">
        <v>64</v>
      </c>
      <c r="Q75" s="315"/>
      <c r="R75" s="314"/>
      <c r="S75" s="306" t="s">
        <v>231</v>
      </c>
      <c r="T75" s="314"/>
      <c r="U75" s="57"/>
    </row>
    <row r="76" spans="2:21" ht="13.5" customHeight="1">
      <c r="B76" s="56"/>
      <c r="C76" s="307"/>
      <c r="D76" s="310"/>
      <c r="E76" s="311"/>
      <c r="F76" s="100">
        <v>43971.577785381945</v>
      </c>
      <c r="G76" s="306">
        <v>16.104999542236328</v>
      </c>
      <c r="H76" s="314"/>
      <c r="I76" s="306">
        <v>4081764</v>
      </c>
      <c r="J76" s="314"/>
      <c r="K76" s="101">
        <v>215880</v>
      </c>
      <c r="L76" s="102">
        <v>8290</v>
      </c>
      <c r="M76" s="102">
        <v>133510</v>
      </c>
      <c r="N76" s="102">
        <v>7806.8</v>
      </c>
      <c r="O76" s="102">
        <v>125728.51</v>
      </c>
      <c r="P76" s="306" t="s">
        <v>64</v>
      </c>
      <c r="Q76" s="315"/>
      <c r="R76" s="314"/>
      <c r="S76" s="306" t="s">
        <v>231</v>
      </c>
      <c r="T76" s="314"/>
      <c r="U76" s="57"/>
    </row>
    <row r="77" spans="2:21" ht="13.5" customHeight="1">
      <c r="B77" s="56"/>
      <c r="C77" s="307"/>
      <c r="D77" s="310"/>
      <c r="E77" s="311"/>
      <c r="F77" s="100">
        <v>43978.913105706015</v>
      </c>
      <c r="G77" s="306">
        <v>19.225000381469727</v>
      </c>
      <c r="H77" s="314"/>
      <c r="I77" s="306">
        <v>4084864</v>
      </c>
      <c r="J77" s="314"/>
      <c r="K77" s="101">
        <v>216240</v>
      </c>
      <c r="L77" s="102">
        <v>8290</v>
      </c>
      <c r="M77" s="102">
        <v>159375</v>
      </c>
      <c r="N77" s="102">
        <v>7806.8</v>
      </c>
      <c r="O77" s="102">
        <v>150085.73000000001</v>
      </c>
      <c r="P77" s="306" t="s">
        <v>64</v>
      </c>
      <c r="Q77" s="315"/>
      <c r="R77" s="314"/>
      <c r="S77" s="306" t="s">
        <v>231</v>
      </c>
      <c r="T77" s="314"/>
      <c r="U77" s="57"/>
    </row>
    <row r="78" spans="2:21" ht="13.5" customHeight="1">
      <c r="B78" s="56"/>
      <c r="C78" s="307"/>
      <c r="D78" s="310"/>
      <c r="E78" s="311"/>
      <c r="F78" s="100">
        <v>43985.427911886574</v>
      </c>
      <c r="G78" s="306">
        <v>17.908000946044922</v>
      </c>
      <c r="H78" s="314"/>
      <c r="I78" s="306">
        <v>4087575</v>
      </c>
      <c r="J78" s="314"/>
      <c r="K78" s="101">
        <v>216590</v>
      </c>
      <c r="L78" s="102">
        <v>8290</v>
      </c>
      <c r="M78" s="102">
        <v>148457</v>
      </c>
      <c r="N78" s="102">
        <v>7804.5</v>
      </c>
      <c r="O78" s="102">
        <v>139763</v>
      </c>
      <c r="P78" s="306" t="s">
        <v>64</v>
      </c>
      <c r="Q78" s="315"/>
      <c r="R78" s="314"/>
      <c r="S78" s="306" t="s">
        <v>231</v>
      </c>
      <c r="T78" s="314"/>
      <c r="U78" s="57"/>
    </row>
    <row r="79" spans="2:21" ht="13.5" customHeight="1">
      <c r="B79" s="56"/>
      <c r="C79" s="307"/>
      <c r="D79" s="310"/>
      <c r="E79" s="311"/>
      <c r="F79" s="100">
        <v>43991.614627511575</v>
      </c>
      <c r="G79" s="306">
        <v>17.791999816894531</v>
      </c>
      <c r="H79" s="314"/>
      <c r="I79" s="306">
        <v>4090540</v>
      </c>
      <c r="J79" s="314"/>
      <c r="K79" s="101">
        <v>216900</v>
      </c>
      <c r="L79" s="102">
        <v>8290</v>
      </c>
      <c r="M79" s="102">
        <v>147496</v>
      </c>
      <c r="N79" s="102">
        <v>7804.5</v>
      </c>
      <c r="O79" s="102">
        <v>138857.66</v>
      </c>
      <c r="P79" s="306" t="s">
        <v>64</v>
      </c>
      <c r="Q79" s="315"/>
      <c r="R79" s="314"/>
      <c r="S79" s="306" t="s">
        <v>231</v>
      </c>
      <c r="T79" s="314"/>
      <c r="U79" s="57"/>
    </row>
    <row r="80" spans="2:21" ht="13.5" customHeight="1">
      <c r="B80" s="56"/>
      <c r="C80" s="307"/>
      <c r="D80" s="310"/>
      <c r="E80" s="311"/>
      <c r="F80" s="100">
        <v>43996.336440706014</v>
      </c>
      <c r="G80" s="306">
        <v>19.16200065612793</v>
      </c>
      <c r="H80" s="314"/>
      <c r="I80" s="306">
        <v>4092849</v>
      </c>
      <c r="J80" s="314"/>
      <c r="K80" s="101">
        <v>217235</v>
      </c>
      <c r="L80" s="102">
        <v>8290</v>
      </c>
      <c r="M80" s="102">
        <v>158853</v>
      </c>
      <c r="N80" s="102">
        <v>7804.5</v>
      </c>
      <c r="O80" s="102">
        <v>149549.82999999999</v>
      </c>
      <c r="P80" s="306" t="s">
        <v>64</v>
      </c>
      <c r="Q80" s="315"/>
      <c r="R80" s="314"/>
      <c r="S80" s="306" t="s">
        <v>231</v>
      </c>
      <c r="T80" s="314"/>
      <c r="U80" s="57"/>
    </row>
    <row r="81" spans="2:21" ht="13.5" customHeight="1">
      <c r="B81" s="56"/>
      <c r="C81" s="307"/>
      <c r="D81" s="310"/>
      <c r="E81" s="311"/>
      <c r="F81" s="100">
        <v>43998.611052465276</v>
      </c>
      <c r="G81" s="306">
        <v>14.703000068664551</v>
      </c>
      <c r="H81" s="314"/>
      <c r="I81" s="306">
        <v>4093720</v>
      </c>
      <c r="J81" s="314"/>
      <c r="K81" s="101">
        <v>217345</v>
      </c>
      <c r="L81" s="102">
        <v>8290</v>
      </c>
      <c r="M81" s="102">
        <v>121888</v>
      </c>
      <c r="N81" s="102">
        <v>7804.5</v>
      </c>
      <c r="O81" s="102">
        <v>114749.56</v>
      </c>
      <c r="P81" s="306" t="s">
        <v>64</v>
      </c>
      <c r="Q81" s="315"/>
      <c r="R81" s="314"/>
      <c r="S81" s="306" t="s">
        <v>231</v>
      </c>
      <c r="T81" s="314"/>
      <c r="U81" s="57"/>
    </row>
    <row r="82" spans="2:21" ht="13.5" customHeight="1">
      <c r="B82" s="56"/>
      <c r="C82" s="307"/>
      <c r="D82" s="310"/>
      <c r="E82" s="311"/>
      <c r="F82" s="100">
        <v>44001.573727893519</v>
      </c>
      <c r="G82" s="306">
        <v>15.046999931335449</v>
      </c>
      <c r="H82" s="314"/>
      <c r="I82" s="306">
        <v>4095322</v>
      </c>
      <c r="J82" s="314"/>
      <c r="K82" s="101">
        <v>217600</v>
      </c>
      <c r="L82" s="102">
        <v>8290</v>
      </c>
      <c r="M82" s="102">
        <v>124740</v>
      </c>
      <c r="N82" s="102">
        <v>7804.5</v>
      </c>
      <c r="O82" s="102">
        <v>117434.31</v>
      </c>
      <c r="P82" s="306" t="s">
        <v>64</v>
      </c>
      <c r="Q82" s="315"/>
      <c r="R82" s="314"/>
      <c r="S82" s="306" t="s">
        <v>231</v>
      </c>
      <c r="T82" s="314"/>
      <c r="U82" s="57"/>
    </row>
    <row r="83" spans="2:21" ht="13.5" customHeight="1">
      <c r="B83" s="56"/>
      <c r="C83" s="307"/>
      <c r="D83" s="310"/>
      <c r="E83" s="311"/>
      <c r="F83" s="100">
        <v>44006.887660335648</v>
      </c>
      <c r="G83" s="306">
        <v>17.527000427246094</v>
      </c>
      <c r="H83" s="314"/>
      <c r="I83" s="306">
        <v>4097926</v>
      </c>
      <c r="J83" s="314"/>
      <c r="K83" s="101">
        <v>217865</v>
      </c>
      <c r="L83" s="102">
        <v>8290</v>
      </c>
      <c r="M83" s="102">
        <v>145299</v>
      </c>
      <c r="N83" s="102">
        <v>7804.5</v>
      </c>
      <c r="O83" s="102">
        <v>136789.47</v>
      </c>
      <c r="P83" s="306" t="s">
        <v>64</v>
      </c>
      <c r="Q83" s="315"/>
      <c r="R83" s="314"/>
      <c r="S83" s="306" t="s">
        <v>231</v>
      </c>
      <c r="T83" s="314"/>
      <c r="U83" s="57"/>
    </row>
    <row r="84" spans="2:21" s="58" customFormat="1" ht="13.5" customHeight="1">
      <c r="B84" s="59"/>
      <c r="C84" s="307"/>
      <c r="D84" s="310"/>
      <c r="E84" s="311"/>
      <c r="F84" s="100">
        <v>44011.434577627311</v>
      </c>
      <c r="G84" s="306">
        <v>14.041000366210938</v>
      </c>
      <c r="H84" s="314"/>
      <c r="I84" s="306">
        <v>4100236</v>
      </c>
      <c r="J84" s="314"/>
      <c r="K84" s="101">
        <v>218063</v>
      </c>
      <c r="L84" s="102">
        <v>8290</v>
      </c>
      <c r="M84" s="102">
        <v>116400</v>
      </c>
      <c r="N84" s="102">
        <v>7804.5</v>
      </c>
      <c r="O84" s="102">
        <v>109582.98</v>
      </c>
      <c r="P84" s="306" t="s">
        <v>64</v>
      </c>
      <c r="Q84" s="315"/>
      <c r="R84" s="314"/>
      <c r="S84" s="306" t="s">
        <v>231</v>
      </c>
      <c r="T84" s="314"/>
      <c r="U84" s="60"/>
    </row>
    <row r="85" spans="2:21" ht="13.5" customHeight="1">
      <c r="B85" s="56"/>
      <c r="C85" s="307"/>
      <c r="D85" s="310"/>
      <c r="E85" s="311"/>
      <c r="F85" s="100">
        <v>44015.838065011572</v>
      </c>
      <c r="G85" s="306">
        <v>15.253000259399414</v>
      </c>
      <c r="H85" s="314"/>
      <c r="I85" s="306">
        <v>4102883</v>
      </c>
      <c r="J85" s="314"/>
      <c r="K85" s="101">
        <v>218300</v>
      </c>
      <c r="L85" s="102">
        <v>8290</v>
      </c>
      <c r="M85" s="102">
        <v>126447</v>
      </c>
      <c r="N85" s="102">
        <v>7804.5</v>
      </c>
      <c r="O85" s="102">
        <v>119042.04</v>
      </c>
      <c r="P85" s="306" t="s">
        <v>64</v>
      </c>
      <c r="Q85" s="315"/>
      <c r="R85" s="314"/>
      <c r="S85" s="306" t="s">
        <v>231</v>
      </c>
      <c r="T85" s="314"/>
      <c r="U85" s="57"/>
    </row>
    <row r="86" spans="2:21" ht="13.5" customHeight="1">
      <c r="B86" s="56"/>
      <c r="C86" s="307"/>
      <c r="D86" s="310"/>
      <c r="E86" s="311"/>
      <c r="F86" s="100">
        <v>44020.454107951387</v>
      </c>
      <c r="G86" s="306">
        <v>13.222999572753906</v>
      </c>
      <c r="H86" s="314"/>
      <c r="I86" s="306">
        <v>4105303</v>
      </c>
      <c r="J86" s="314"/>
      <c r="K86" s="101">
        <v>218515</v>
      </c>
      <c r="L86" s="102">
        <v>8290</v>
      </c>
      <c r="M86" s="102">
        <v>109619</v>
      </c>
      <c r="N86" s="102">
        <v>7804.5</v>
      </c>
      <c r="O86" s="102">
        <v>103198.9</v>
      </c>
      <c r="P86" s="306" t="s">
        <v>64</v>
      </c>
      <c r="Q86" s="315"/>
      <c r="R86" s="314"/>
      <c r="S86" s="306" t="s">
        <v>231</v>
      </c>
      <c r="T86" s="314"/>
      <c r="U86" s="57"/>
    </row>
    <row r="87" spans="2:21" ht="13.5" customHeight="1">
      <c r="B87" s="56"/>
      <c r="C87" s="307"/>
      <c r="D87" s="310"/>
      <c r="E87" s="311"/>
      <c r="F87" s="100">
        <v>44025.840552280089</v>
      </c>
      <c r="G87" s="306">
        <v>14.239999771118164</v>
      </c>
      <c r="H87" s="314"/>
      <c r="I87" s="306">
        <v>4108246</v>
      </c>
      <c r="J87" s="314"/>
      <c r="K87" s="101">
        <v>218739</v>
      </c>
      <c r="L87" s="102">
        <v>8290</v>
      </c>
      <c r="M87" s="102">
        <v>118050</v>
      </c>
      <c r="N87" s="102">
        <v>7804.5</v>
      </c>
      <c r="O87" s="102">
        <v>111136.08</v>
      </c>
      <c r="P87" s="306" t="s">
        <v>64</v>
      </c>
      <c r="Q87" s="315"/>
      <c r="R87" s="314"/>
      <c r="S87" s="306" t="s">
        <v>231</v>
      </c>
      <c r="T87" s="314"/>
      <c r="U87" s="57"/>
    </row>
    <row r="88" spans="2:21" ht="13.5" customHeight="1">
      <c r="B88" s="56"/>
      <c r="C88" s="307"/>
      <c r="D88" s="310"/>
      <c r="E88" s="311"/>
      <c r="F88" s="100">
        <v>44028.90804707176</v>
      </c>
      <c r="G88" s="306">
        <v>14.47599983215332</v>
      </c>
      <c r="H88" s="314"/>
      <c r="I88" s="306">
        <v>4109407</v>
      </c>
      <c r="J88" s="314"/>
      <c r="K88" s="101">
        <v>218964</v>
      </c>
      <c r="L88" s="102">
        <v>8290</v>
      </c>
      <c r="M88" s="102">
        <v>120006</v>
      </c>
      <c r="N88" s="102">
        <v>7804.5</v>
      </c>
      <c r="O88" s="102">
        <v>112977.94</v>
      </c>
      <c r="P88" s="306" t="s">
        <v>64</v>
      </c>
      <c r="Q88" s="315"/>
      <c r="R88" s="314"/>
      <c r="S88" s="306" t="s">
        <v>231</v>
      </c>
      <c r="T88" s="314"/>
      <c r="U88" s="57"/>
    </row>
    <row r="89" spans="2:21" ht="13.5" customHeight="1">
      <c r="B89" s="56"/>
      <c r="C89" s="307"/>
      <c r="D89" s="310"/>
      <c r="E89" s="311"/>
      <c r="F89" s="100">
        <v>44032.721913043977</v>
      </c>
      <c r="G89" s="306">
        <v>12.357999801635742</v>
      </c>
      <c r="H89" s="314"/>
      <c r="I89" s="306">
        <v>4110674</v>
      </c>
      <c r="J89" s="314"/>
      <c r="K89" s="101">
        <v>219156</v>
      </c>
      <c r="L89" s="102">
        <v>8290</v>
      </c>
      <c r="M89" s="102">
        <v>102448</v>
      </c>
      <c r="N89" s="102">
        <v>7804.5</v>
      </c>
      <c r="O89" s="102">
        <v>96448.01</v>
      </c>
      <c r="P89" s="306" t="s">
        <v>64</v>
      </c>
      <c r="Q89" s="315"/>
      <c r="R89" s="314"/>
      <c r="S89" s="306" t="s">
        <v>231</v>
      </c>
      <c r="T89" s="314"/>
      <c r="U89" s="57"/>
    </row>
    <row r="90" spans="2:21" ht="13.5" customHeight="1">
      <c r="B90" s="56"/>
      <c r="C90" s="307"/>
      <c r="D90" s="310"/>
      <c r="E90" s="311"/>
      <c r="F90" s="100">
        <v>44037.516970335644</v>
      </c>
      <c r="G90" s="306">
        <v>13.739999771118164</v>
      </c>
      <c r="H90" s="314"/>
      <c r="I90" s="306">
        <v>4112442</v>
      </c>
      <c r="J90" s="314"/>
      <c r="K90" s="101">
        <v>219383</v>
      </c>
      <c r="L90" s="102">
        <v>8290</v>
      </c>
      <c r="M90" s="102">
        <v>113905</v>
      </c>
      <c r="N90" s="102">
        <v>7804.5</v>
      </c>
      <c r="O90" s="102">
        <v>107233.83</v>
      </c>
      <c r="P90" s="306" t="s">
        <v>64</v>
      </c>
      <c r="Q90" s="315"/>
      <c r="R90" s="314"/>
      <c r="S90" s="306" t="s">
        <v>231</v>
      </c>
      <c r="T90" s="314"/>
      <c r="U90" s="57"/>
    </row>
    <row r="91" spans="2:21" ht="13.5" customHeight="1">
      <c r="B91" s="56"/>
      <c r="C91" s="307"/>
      <c r="D91" s="310"/>
      <c r="E91" s="311"/>
      <c r="F91" s="100">
        <v>44039.656630902777</v>
      </c>
      <c r="G91" s="306">
        <v>5.2119998931884766</v>
      </c>
      <c r="H91" s="314"/>
      <c r="I91" s="306">
        <v>4113297</v>
      </c>
      <c r="J91" s="314"/>
      <c r="K91" s="101">
        <v>219448</v>
      </c>
      <c r="L91" s="102">
        <v>8290</v>
      </c>
      <c r="M91" s="102">
        <v>43207</v>
      </c>
      <c r="N91" s="102">
        <v>7804.5</v>
      </c>
      <c r="O91" s="102">
        <v>40677.050000000003</v>
      </c>
      <c r="P91" s="306" t="s">
        <v>64</v>
      </c>
      <c r="Q91" s="315"/>
      <c r="R91" s="314"/>
      <c r="S91" s="306" t="s">
        <v>231</v>
      </c>
      <c r="T91" s="314"/>
      <c r="U91" s="57"/>
    </row>
    <row r="92" spans="2:21" ht="13.5" customHeight="1">
      <c r="B92" s="56"/>
      <c r="C92" s="307"/>
      <c r="D92" s="310"/>
      <c r="E92" s="311"/>
      <c r="F92" s="100">
        <v>44042.619478668981</v>
      </c>
      <c r="G92" s="306">
        <v>15.256999969482422</v>
      </c>
      <c r="H92" s="314"/>
      <c r="I92" s="306">
        <v>4114842</v>
      </c>
      <c r="J92" s="314"/>
      <c r="K92" s="101">
        <v>219653</v>
      </c>
      <c r="L92" s="102">
        <v>8290</v>
      </c>
      <c r="M92" s="102">
        <v>126481</v>
      </c>
      <c r="N92" s="102">
        <v>7804.5</v>
      </c>
      <c r="O92" s="102">
        <v>119073.26</v>
      </c>
      <c r="P92" s="306" t="s">
        <v>64</v>
      </c>
      <c r="Q92" s="315"/>
      <c r="R92" s="314"/>
      <c r="S92" s="306" t="s">
        <v>231</v>
      </c>
      <c r="T92" s="314"/>
      <c r="U92" s="57"/>
    </row>
    <row r="93" spans="2:21" ht="13.5" customHeight="1">
      <c r="B93" s="56"/>
      <c r="C93" s="307"/>
      <c r="D93" s="310"/>
      <c r="E93" s="311"/>
      <c r="F93" s="100">
        <v>44048.398375381941</v>
      </c>
      <c r="G93" s="306">
        <v>15.76099967956543</v>
      </c>
      <c r="H93" s="314"/>
      <c r="I93" s="306">
        <v>4117652</v>
      </c>
      <c r="J93" s="314"/>
      <c r="K93" s="101">
        <v>219930</v>
      </c>
      <c r="L93" s="102">
        <v>8290</v>
      </c>
      <c r="M93" s="102">
        <v>130659</v>
      </c>
      <c r="N93" s="102">
        <v>7804.5</v>
      </c>
      <c r="O93" s="102">
        <v>123006.72</v>
      </c>
      <c r="P93" s="306" t="s">
        <v>64</v>
      </c>
      <c r="Q93" s="315"/>
      <c r="R93" s="314"/>
      <c r="S93" s="306" t="s">
        <v>231</v>
      </c>
      <c r="T93" s="314"/>
      <c r="U93" s="57"/>
    </row>
    <row r="94" spans="2:21" ht="13.5" customHeight="1">
      <c r="B94" s="56"/>
      <c r="C94" s="307"/>
      <c r="D94" s="310"/>
      <c r="E94" s="311"/>
      <c r="F94" s="100">
        <v>44052.809134525458</v>
      </c>
      <c r="G94" s="306">
        <v>15.439000129699707</v>
      </c>
      <c r="H94" s="314"/>
      <c r="I94" s="306">
        <v>4119841</v>
      </c>
      <c r="J94" s="314"/>
      <c r="K94" s="101">
        <v>220215</v>
      </c>
      <c r="L94" s="102">
        <v>8290</v>
      </c>
      <c r="M94" s="102">
        <v>127989</v>
      </c>
      <c r="N94" s="102">
        <v>7804.5</v>
      </c>
      <c r="O94" s="102">
        <v>120493.68</v>
      </c>
      <c r="P94" s="306" t="s">
        <v>64</v>
      </c>
      <c r="Q94" s="315"/>
      <c r="R94" s="314"/>
      <c r="S94" s="306" t="s">
        <v>231</v>
      </c>
      <c r="T94" s="314"/>
      <c r="U94" s="57"/>
    </row>
    <row r="95" spans="2:21" ht="13.5" customHeight="1">
      <c r="B95" s="56"/>
      <c r="C95" s="307"/>
      <c r="D95" s="310"/>
      <c r="E95" s="311"/>
      <c r="F95" s="100">
        <v>44059.574423611106</v>
      </c>
      <c r="G95" s="306">
        <v>16.950000762939453</v>
      </c>
      <c r="H95" s="314"/>
      <c r="I95" s="306">
        <v>4123240</v>
      </c>
      <c r="J95" s="314"/>
      <c r="K95" s="101">
        <v>220522</v>
      </c>
      <c r="L95" s="102">
        <v>8290</v>
      </c>
      <c r="M95" s="102">
        <v>140516</v>
      </c>
      <c r="N95" s="102">
        <v>7804.5</v>
      </c>
      <c r="O95" s="102">
        <v>132286.28</v>
      </c>
      <c r="P95" s="306" t="s">
        <v>64</v>
      </c>
      <c r="Q95" s="315"/>
      <c r="R95" s="314"/>
      <c r="S95" s="306" t="s">
        <v>231</v>
      </c>
      <c r="T95" s="314"/>
      <c r="U95" s="57"/>
    </row>
    <row r="96" spans="2:21" s="58" customFormat="1" ht="13.5" customHeight="1">
      <c r="B96" s="59"/>
      <c r="C96" s="307"/>
      <c r="D96" s="310"/>
      <c r="E96" s="311"/>
      <c r="F96" s="100">
        <v>44064.673296331013</v>
      </c>
      <c r="G96" s="306">
        <v>13.25</v>
      </c>
      <c r="H96" s="314"/>
      <c r="I96" s="306">
        <v>4125635</v>
      </c>
      <c r="J96" s="314"/>
      <c r="K96" s="101">
        <v>220729</v>
      </c>
      <c r="L96" s="102">
        <v>8290</v>
      </c>
      <c r="M96" s="102">
        <v>109843</v>
      </c>
      <c r="N96" s="102">
        <v>7804.5</v>
      </c>
      <c r="O96" s="102">
        <v>103409.63</v>
      </c>
      <c r="P96" s="306" t="s">
        <v>64</v>
      </c>
      <c r="Q96" s="315"/>
      <c r="R96" s="314"/>
      <c r="S96" s="306" t="s">
        <v>231</v>
      </c>
      <c r="T96" s="314"/>
      <c r="U96" s="60"/>
    </row>
    <row r="97" spans="2:21" ht="13.5" customHeight="1">
      <c r="B97" s="56"/>
      <c r="C97" s="307"/>
      <c r="D97" s="310"/>
      <c r="E97" s="311"/>
      <c r="F97" s="100">
        <v>44069.38906134259</v>
      </c>
      <c r="G97" s="306">
        <v>14.72700023651123</v>
      </c>
      <c r="H97" s="314"/>
      <c r="I97" s="306">
        <v>4127889</v>
      </c>
      <c r="J97" s="314"/>
      <c r="K97" s="101">
        <v>220971</v>
      </c>
      <c r="L97" s="102">
        <v>8290</v>
      </c>
      <c r="M97" s="102">
        <v>122087</v>
      </c>
      <c r="N97" s="102">
        <v>7804.5</v>
      </c>
      <c r="O97" s="102">
        <v>114936.88</v>
      </c>
      <c r="P97" s="306" t="s">
        <v>64</v>
      </c>
      <c r="Q97" s="315"/>
      <c r="R97" s="314"/>
      <c r="S97" s="306" t="s">
        <v>231</v>
      </c>
      <c r="T97" s="314"/>
      <c r="U97" s="57"/>
    </row>
    <row r="98" spans="2:21" ht="13.5" customHeight="1">
      <c r="B98" s="56"/>
      <c r="C98" s="307"/>
      <c r="D98" s="310"/>
      <c r="E98" s="311"/>
      <c r="F98" s="100">
        <v>44071.655486655094</v>
      </c>
      <c r="G98" s="306">
        <v>12.404000282287598</v>
      </c>
      <c r="H98" s="314"/>
      <c r="I98" s="306">
        <v>4129127</v>
      </c>
      <c r="J98" s="314"/>
      <c r="K98" s="101">
        <v>221080</v>
      </c>
      <c r="L98" s="102">
        <v>8290</v>
      </c>
      <c r="M98" s="102">
        <v>102829</v>
      </c>
      <c r="N98" s="102">
        <v>7804.5</v>
      </c>
      <c r="O98" s="102">
        <v>96807.02</v>
      </c>
      <c r="P98" s="306" t="s">
        <v>64</v>
      </c>
      <c r="Q98" s="315"/>
      <c r="R98" s="314"/>
      <c r="S98" s="306" t="s">
        <v>231</v>
      </c>
      <c r="T98" s="314"/>
      <c r="U98" s="57"/>
    </row>
    <row r="99" spans="2:21" ht="13.5" customHeight="1">
      <c r="B99" s="56"/>
      <c r="C99" s="307"/>
      <c r="D99" s="310"/>
      <c r="E99" s="311"/>
      <c r="F99" s="100">
        <v>44077.042939155093</v>
      </c>
      <c r="G99" s="306">
        <v>14.475000381469727</v>
      </c>
      <c r="H99" s="314"/>
      <c r="I99" s="306">
        <v>4132198</v>
      </c>
      <c r="J99" s="314"/>
      <c r="K99" s="101">
        <v>221331</v>
      </c>
      <c r="L99" s="102">
        <v>8290</v>
      </c>
      <c r="M99" s="102">
        <v>119998</v>
      </c>
      <c r="N99" s="102">
        <v>7804.5</v>
      </c>
      <c r="O99" s="102">
        <v>112970.14</v>
      </c>
      <c r="P99" s="306" t="s">
        <v>64</v>
      </c>
      <c r="Q99" s="315"/>
      <c r="R99" s="314"/>
      <c r="S99" s="306" t="s">
        <v>231</v>
      </c>
      <c r="T99" s="314"/>
      <c r="U99" s="57"/>
    </row>
    <row r="100" spans="2:21" ht="13.5" customHeight="1">
      <c r="B100" s="56"/>
      <c r="C100" s="307"/>
      <c r="D100" s="310"/>
      <c r="E100" s="311"/>
      <c r="F100" s="100">
        <v>44082.417883993054</v>
      </c>
      <c r="G100" s="306">
        <v>17.771999359130859</v>
      </c>
      <c r="H100" s="314"/>
      <c r="I100" s="306">
        <v>4135062</v>
      </c>
      <c r="J100" s="314"/>
      <c r="K100" s="101">
        <v>221621</v>
      </c>
      <c r="L100" s="102">
        <v>8290</v>
      </c>
      <c r="M100" s="102">
        <v>147330</v>
      </c>
      <c r="N100" s="102">
        <v>7804.5</v>
      </c>
      <c r="O100" s="102">
        <v>138701.56</v>
      </c>
      <c r="P100" s="306" t="s">
        <v>64</v>
      </c>
      <c r="Q100" s="315"/>
      <c r="R100" s="314"/>
      <c r="S100" s="306" t="s">
        <v>231</v>
      </c>
      <c r="T100" s="314"/>
      <c r="U100" s="57"/>
    </row>
    <row r="101" spans="2:21" ht="13.5" customHeight="1">
      <c r="B101" s="56"/>
      <c r="C101" s="307"/>
      <c r="D101" s="310"/>
      <c r="E101" s="311"/>
      <c r="F101" s="100">
        <v>44086.556385914351</v>
      </c>
      <c r="G101" s="306">
        <v>17.836000442504883</v>
      </c>
      <c r="H101" s="314"/>
      <c r="I101" s="306">
        <v>4137472</v>
      </c>
      <c r="J101" s="314"/>
      <c r="K101" s="101">
        <v>221921</v>
      </c>
      <c r="L101" s="102">
        <v>8290</v>
      </c>
      <c r="M101" s="102">
        <v>147860</v>
      </c>
      <c r="N101" s="102">
        <v>7804.5</v>
      </c>
      <c r="O101" s="102">
        <v>139201.06</v>
      </c>
      <c r="P101" s="306" t="s">
        <v>64</v>
      </c>
      <c r="Q101" s="315"/>
      <c r="R101" s="314"/>
      <c r="S101" s="306" t="s">
        <v>231</v>
      </c>
      <c r="T101" s="314"/>
      <c r="U101" s="57"/>
    </row>
    <row r="102" spans="2:21" s="58" customFormat="1" ht="13.5" customHeight="1">
      <c r="B102" s="59"/>
      <c r="C102" s="307"/>
      <c r="D102" s="310"/>
      <c r="E102" s="311"/>
      <c r="F102" s="100">
        <v>44089.716862071757</v>
      </c>
      <c r="G102" s="306">
        <v>14.168999671936035</v>
      </c>
      <c r="H102" s="314"/>
      <c r="I102" s="306">
        <v>4139111</v>
      </c>
      <c r="J102" s="314"/>
      <c r="K102" s="101">
        <v>222065</v>
      </c>
      <c r="L102" s="102">
        <v>8290</v>
      </c>
      <c r="M102" s="102">
        <v>117461</v>
      </c>
      <c r="N102" s="102">
        <v>7804.5</v>
      </c>
      <c r="O102" s="102">
        <v>110581.96</v>
      </c>
      <c r="P102" s="306" t="s">
        <v>64</v>
      </c>
      <c r="Q102" s="315"/>
      <c r="R102" s="314"/>
      <c r="S102" s="306" t="s">
        <v>231</v>
      </c>
      <c r="T102" s="314"/>
      <c r="U102" s="60"/>
    </row>
    <row r="103" spans="2:21" ht="17.25" customHeight="1">
      <c r="B103" s="56"/>
      <c r="C103" s="307"/>
      <c r="D103" s="310"/>
      <c r="E103" s="311"/>
      <c r="F103" s="100">
        <v>44094.391873576387</v>
      </c>
      <c r="G103" s="306">
        <v>18.339000701904297</v>
      </c>
      <c r="H103" s="314"/>
      <c r="I103" s="306">
        <v>4141787</v>
      </c>
      <c r="J103" s="314"/>
      <c r="K103" s="101">
        <v>222371</v>
      </c>
      <c r="L103" s="102">
        <v>8290</v>
      </c>
      <c r="M103" s="102">
        <v>152030</v>
      </c>
      <c r="N103" s="102">
        <v>7804.5</v>
      </c>
      <c r="O103" s="102">
        <v>143126.73000000001</v>
      </c>
      <c r="P103" s="306" t="s">
        <v>64</v>
      </c>
      <c r="Q103" s="315"/>
      <c r="R103" s="314"/>
      <c r="S103" s="306" t="s">
        <v>231</v>
      </c>
      <c r="T103" s="314"/>
      <c r="U103" s="57"/>
    </row>
    <row r="104" spans="2:21" ht="18" customHeight="1">
      <c r="B104" s="61"/>
      <c r="C104" s="307"/>
      <c r="D104" s="310"/>
      <c r="E104" s="311"/>
      <c r="F104" s="100">
        <v>44097.515798460649</v>
      </c>
      <c r="G104" s="306">
        <v>16.417999267578125</v>
      </c>
      <c r="H104" s="314"/>
      <c r="I104" s="306">
        <v>4143494</v>
      </c>
      <c r="J104" s="314"/>
      <c r="K104" s="101">
        <v>222670</v>
      </c>
      <c r="L104" s="102">
        <v>8290</v>
      </c>
      <c r="M104" s="102">
        <v>136105</v>
      </c>
      <c r="N104" s="102">
        <v>7804.5</v>
      </c>
      <c r="O104" s="102">
        <v>128134.27</v>
      </c>
      <c r="P104" s="306" t="s">
        <v>64</v>
      </c>
      <c r="Q104" s="315"/>
      <c r="R104" s="314"/>
      <c r="S104" s="306" t="s">
        <v>231</v>
      </c>
      <c r="T104" s="314"/>
      <c r="U104" s="62"/>
    </row>
    <row r="105" spans="2:21" ht="18.2" customHeight="1">
      <c r="C105" s="308"/>
      <c r="D105" s="312"/>
      <c r="E105" s="313"/>
      <c r="F105" s="100">
        <v>44103.456632175927</v>
      </c>
      <c r="G105" s="306">
        <v>18.775999069213867</v>
      </c>
      <c r="H105" s="314"/>
      <c r="I105" s="306">
        <v>4146851</v>
      </c>
      <c r="J105" s="314"/>
      <c r="K105" s="101">
        <v>222995</v>
      </c>
      <c r="L105" s="102">
        <v>8290</v>
      </c>
      <c r="M105" s="102">
        <v>155653</v>
      </c>
      <c r="N105" s="102">
        <v>7804.5</v>
      </c>
      <c r="O105" s="102">
        <v>146537.28</v>
      </c>
      <c r="P105" s="306" t="s">
        <v>64</v>
      </c>
      <c r="Q105" s="315"/>
      <c r="R105" s="314"/>
      <c r="S105" s="306" t="s">
        <v>231</v>
      </c>
      <c r="T105" s="314"/>
    </row>
    <row r="106" spans="2:21" ht="15">
      <c r="C106" s="306" t="s">
        <v>47</v>
      </c>
      <c r="D106" s="306"/>
      <c r="E106" s="309"/>
      <c r="F106" s="100">
        <v>43839.39500462963</v>
      </c>
      <c r="G106" s="306">
        <v>15.737000465393066</v>
      </c>
      <c r="H106" s="314"/>
      <c r="I106" s="306">
        <v>3999574</v>
      </c>
      <c r="J106" s="314"/>
      <c r="K106" s="101">
        <v>30105</v>
      </c>
      <c r="L106" s="102">
        <v>9380</v>
      </c>
      <c r="M106" s="102">
        <v>147613</v>
      </c>
      <c r="N106" s="102">
        <v>8992.43</v>
      </c>
      <c r="O106" s="102">
        <v>141513.88</v>
      </c>
      <c r="P106" s="306" t="s">
        <v>58</v>
      </c>
      <c r="Q106" s="315"/>
      <c r="R106" s="314"/>
      <c r="S106" s="306" t="s">
        <v>231</v>
      </c>
      <c r="T106" s="314"/>
    </row>
    <row r="107" spans="2:21" ht="15">
      <c r="C107" s="307"/>
      <c r="D107" s="310"/>
      <c r="E107" s="311"/>
      <c r="F107" s="100">
        <v>43851.632684918979</v>
      </c>
      <c r="G107" s="306">
        <v>15.791999816894531</v>
      </c>
      <c r="H107" s="314"/>
      <c r="I107" s="306">
        <v>4010945</v>
      </c>
      <c r="J107" s="314"/>
      <c r="K107" s="101">
        <v>30477</v>
      </c>
      <c r="L107" s="102">
        <v>9390</v>
      </c>
      <c r="M107" s="102">
        <v>148287</v>
      </c>
      <c r="N107" s="102">
        <v>8992.43</v>
      </c>
      <c r="O107" s="102">
        <v>142008.45000000001</v>
      </c>
      <c r="P107" s="306" t="s">
        <v>58</v>
      </c>
      <c r="Q107" s="315"/>
      <c r="R107" s="314"/>
      <c r="S107" s="306" t="s">
        <v>231</v>
      </c>
      <c r="T107" s="314"/>
    </row>
    <row r="108" spans="2:21" ht="15">
      <c r="C108" s="307"/>
      <c r="D108" s="310"/>
      <c r="E108" s="311"/>
      <c r="F108" s="100">
        <v>43861.506080208332</v>
      </c>
      <c r="G108" s="306">
        <v>14.314999580383301</v>
      </c>
      <c r="H108" s="314"/>
      <c r="I108" s="306">
        <v>4020426</v>
      </c>
      <c r="J108" s="314"/>
      <c r="K108" s="101">
        <v>30841</v>
      </c>
      <c r="L108" s="102">
        <v>9390</v>
      </c>
      <c r="M108" s="102">
        <v>134418</v>
      </c>
      <c r="N108" s="102">
        <v>8992.43</v>
      </c>
      <c r="O108" s="102">
        <v>128726.63</v>
      </c>
      <c r="P108" s="306" t="s">
        <v>58</v>
      </c>
      <c r="Q108" s="315"/>
      <c r="R108" s="314"/>
      <c r="S108" s="306" t="s">
        <v>231</v>
      </c>
      <c r="T108" s="314"/>
    </row>
    <row r="109" spans="2:21" ht="15">
      <c r="C109" s="307"/>
      <c r="D109" s="310"/>
      <c r="E109" s="311"/>
      <c r="F109" s="100">
        <v>43882.638849340277</v>
      </c>
      <c r="G109" s="306">
        <v>15.166999816894531</v>
      </c>
      <c r="H109" s="314"/>
      <c r="I109" s="306">
        <v>4041002</v>
      </c>
      <c r="J109" s="314"/>
      <c r="K109" s="101">
        <v>31213</v>
      </c>
      <c r="L109" s="102">
        <v>9390</v>
      </c>
      <c r="M109" s="102">
        <v>142418</v>
      </c>
      <c r="N109" s="102">
        <v>8992.43</v>
      </c>
      <c r="O109" s="102">
        <v>136388.17000000001</v>
      </c>
      <c r="P109" s="306" t="s">
        <v>58</v>
      </c>
      <c r="Q109" s="315"/>
      <c r="R109" s="314"/>
      <c r="S109" s="306" t="s">
        <v>231</v>
      </c>
      <c r="T109" s="314"/>
    </row>
    <row r="110" spans="2:21" ht="15">
      <c r="C110" s="307"/>
      <c r="D110" s="310"/>
      <c r="E110" s="311"/>
      <c r="F110" s="100">
        <v>43894.676367280088</v>
      </c>
      <c r="G110" s="306">
        <v>15.175999641418457</v>
      </c>
      <c r="H110" s="314"/>
      <c r="I110" s="306">
        <v>4052916</v>
      </c>
      <c r="J110" s="314"/>
      <c r="K110" s="101">
        <v>31565</v>
      </c>
      <c r="L110" s="102">
        <v>9390</v>
      </c>
      <c r="M110" s="102">
        <v>142503</v>
      </c>
      <c r="N110" s="102">
        <v>8977.2800000000007</v>
      </c>
      <c r="O110" s="102">
        <v>136239.20000000001</v>
      </c>
      <c r="P110" s="306" t="s">
        <v>58</v>
      </c>
      <c r="Q110" s="315"/>
      <c r="R110" s="314"/>
      <c r="S110" s="306" t="s">
        <v>231</v>
      </c>
      <c r="T110" s="314"/>
    </row>
    <row r="111" spans="2:21" ht="15">
      <c r="C111" s="307"/>
      <c r="D111" s="310"/>
      <c r="E111" s="311"/>
      <c r="F111" s="100">
        <v>43949.44212511574</v>
      </c>
      <c r="G111" s="306">
        <v>16.121999740600586</v>
      </c>
      <c r="H111" s="314"/>
      <c r="I111" s="306">
        <v>4073857</v>
      </c>
      <c r="J111" s="314"/>
      <c r="K111" s="101">
        <v>31966</v>
      </c>
      <c r="L111" s="102">
        <v>8540</v>
      </c>
      <c r="M111" s="102">
        <v>137682</v>
      </c>
      <c r="N111" s="102">
        <v>7908.8</v>
      </c>
      <c r="O111" s="102">
        <v>127505.67</v>
      </c>
      <c r="P111" s="306" t="s">
        <v>58</v>
      </c>
      <c r="Q111" s="315"/>
      <c r="R111" s="314"/>
      <c r="S111" s="306" t="s">
        <v>231</v>
      </c>
      <c r="T111" s="314"/>
    </row>
    <row r="112" spans="2:21" ht="15">
      <c r="C112" s="307"/>
      <c r="D112" s="310"/>
      <c r="E112" s="311"/>
      <c r="F112" s="100">
        <v>43958.851511724533</v>
      </c>
      <c r="G112" s="306">
        <v>16.36199951171875</v>
      </c>
      <c r="H112" s="314"/>
      <c r="I112" s="306">
        <v>4077007</v>
      </c>
      <c r="J112" s="314"/>
      <c r="K112" s="101">
        <v>32327</v>
      </c>
      <c r="L112" s="102">
        <v>8540</v>
      </c>
      <c r="M112" s="102">
        <v>139731</v>
      </c>
      <c r="N112" s="102">
        <v>7908.8</v>
      </c>
      <c r="O112" s="102">
        <v>129403.78</v>
      </c>
      <c r="P112" s="306" t="s">
        <v>58</v>
      </c>
      <c r="Q112" s="315"/>
      <c r="R112" s="314"/>
      <c r="S112" s="306" t="s">
        <v>231</v>
      </c>
      <c r="T112" s="314"/>
    </row>
    <row r="113" spans="3:20" ht="15">
      <c r="C113" s="307"/>
      <c r="D113" s="310"/>
      <c r="E113" s="311"/>
      <c r="F113" s="100">
        <v>43963.728205787032</v>
      </c>
      <c r="G113" s="306">
        <v>16.716999053955078</v>
      </c>
      <c r="H113" s="314"/>
      <c r="I113" s="306">
        <v>4078766</v>
      </c>
      <c r="J113" s="314"/>
      <c r="K113" s="101">
        <v>32776</v>
      </c>
      <c r="L113" s="102">
        <v>8540</v>
      </c>
      <c r="M113" s="102">
        <v>142763</v>
      </c>
      <c r="N113" s="102">
        <v>7908.8</v>
      </c>
      <c r="O113" s="102">
        <v>132211.41</v>
      </c>
      <c r="P113" s="306" t="s">
        <v>58</v>
      </c>
      <c r="Q113" s="315"/>
      <c r="R113" s="314"/>
      <c r="S113" s="306" t="s">
        <v>231</v>
      </c>
      <c r="T113" s="314"/>
    </row>
    <row r="114" spans="3:20" ht="15">
      <c r="C114" s="307"/>
      <c r="D114" s="310"/>
      <c r="E114" s="311"/>
      <c r="F114" s="100">
        <v>43970.546171030088</v>
      </c>
      <c r="G114" s="306">
        <v>16.415000915527344</v>
      </c>
      <c r="H114" s="314"/>
      <c r="I114" s="306">
        <v>4081338</v>
      </c>
      <c r="J114" s="314"/>
      <c r="K114" s="101">
        <v>33154</v>
      </c>
      <c r="L114" s="102">
        <v>8540</v>
      </c>
      <c r="M114" s="102">
        <v>140184</v>
      </c>
      <c r="N114" s="102">
        <v>7908.8</v>
      </c>
      <c r="O114" s="102">
        <v>129822.95</v>
      </c>
      <c r="P114" s="306" t="s">
        <v>58</v>
      </c>
      <c r="Q114" s="315"/>
      <c r="R114" s="314"/>
      <c r="S114" s="306" t="s">
        <v>231</v>
      </c>
      <c r="T114" s="314"/>
    </row>
    <row r="115" spans="3:20" ht="15">
      <c r="C115" s="307"/>
      <c r="D115" s="310"/>
      <c r="E115" s="311"/>
      <c r="F115" s="100">
        <v>43975.604183530093</v>
      </c>
      <c r="G115" s="306">
        <v>11.663999557495117</v>
      </c>
      <c r="H115" s="314"/>
      <c r="I115" s="306">
        <v>4083523</v>
      </c>
      <c r="J115" s="314"/>
      <c r="K115" s="101">
        <v>33485</v>
      </c>
      <c r="L115" s="102">
        <v>8540</v>
      </c>
      <c r="M115" s="102">
        <v>99611</v>
      </c>
      <c r="N115" s="102">
        <v>7908.8</v>
      </c>
      <c r="O115" s="102">
        <v>92248.23</v>
      </c>
      <c r="P115" s="306" t="s">
        <v>58</v>
      </c>
      <c r="Q115" s="315"/>
      <c r="R115" s="314"/>
      <c r="S115" s="306" t="s">
        <v>231</v>
      </c>
      <c r="T115" s="314"/>
    </row>
    <row r="116" spans="3:20" ht="15">
      <c r="C116" s="307"/>
      <c r="D116" s="310"/>
      <c r="E116" s="311"/>
      <c r="F116" s="100">
        <v>43981.861354131943</v>
      </c>
      <c r="G116" s="306">
        <v>15.27400016784668</v>
      </c>
      <c r="H116" s="314"/>
      <c r="I116" s="306">
        <v>4086182</v>
      </c>
      <c r="J116" s="314"/>
      <c r="K116" s="101">
        <v>33843</v>
      </c>
      <c r="L116" s="102">
        <v>8540</v>
      </c>
      <c r="M116" s="102">
        <v>130440</v>
      </c>
      <c r="N116" s="102">
        <v>7908.8</v>
      </c>
      <c r="O116" s="102">
        <v>120799.01</v>
      </c>
      <c r="P116" s="306" t="s">
        <v>58</v>
      </c>
      <c r="Q116" s="315"/>
      <c r="R116" s="314"/>
      <c r="S116" s="306" t="s">
        <v>231</v>
      </c>
      <c r="T116" s="314"/>
    </row>
    <row r="117" spans="3:20" ht="15">
      <c r="C117" s="307"/>
      <c r="D117" s="310"/>
      <c r="E117" s="311"/>
      <c r="F117" s="100">
        <v>43987.613483796296</v>
      </c>
      <c r="G117" s="306">
        <v>14.77299976348877</v>
      </c>
      <c r="H117" s="314"/>
      <c r="I117" s="306">
        <v>4088702</v>
      </c>
      <c r="J117" s="314"/>
      <c r="K117" s="101">
        <v>34224</v>
      </c>
      <c r="L117" s="102">
        <v>8540</v>
      </c>
      <c r="M117" s="102">
        <v>126161</v>
      </c>
      <c r="N117" s="102">
        <v>7906.5</v>
      </c>
      <c r="O117" s="102">
        <v>116802.72</v>
      </c>
      <c r="P117" s="306" t="s">
        <v>58</v>
      </c>
      <c r="Q117" s="315"/>
      <c r="R117" s="314"/>
      <c r="S117" s="306" t="s">
        <v>231</v>
      </c>
      <c r="T117" s="314"/>
    </row>
    <row r="118" spans="3:20" ht="15">
      <c r="C118" s="307"/>
      <c r="D118" s="310"/>
      <c r="E118" s="311"/>
      <c r="F118" s="100">
        <v>43992.542022604168</v>
      </c>
      <c r="G118" s="306">
        <v>14.979000091552734</v>
      </c>
      <c r="H118" s="314"/>
      <c r="I118" s="306">
        <v>4090978</v>
      </c>
      <c r="J118" s="314"/>
      <c r="K118" s="101">
        <v>34624</v>
      </c>
      <c r="L118" s="102">
        <v>8540</v>
      </c>
      <c r="M118" s="102">
        <v>127921</v>
      </c>
      <c r="N118" s="102">
        <v>7906.5</v>
      </c>
      <c r="O118" s="102">
        <v>118431.46</v>
      </c>
      <c r="P118" s="306" t="s">
        <v>58</v>
      </c>
      <c r="Q118" s="315"/>
      <c r="R118" s="314"/>
      <c r="S118" s="306" t="s">
        <v>231</v>
      </c>
      <c r="T118" s="314"/>
    </row>
    <row r="119" spans="3:20" ht="15">
      <c r="C119" s="307"/>
      <c r="D119" s="310"/>
      <c r="E119" s="311"/>
      <c r="F119" s="100">
        <v>43998.863912731482</v>
      </c>
      <c r="G119" s="306">
        <v>13.470999717712402</v>
      </c>
      <c r="H119" s="314"/>
      <c r="I119" s="306">
        <v>4093948</v>
      </c>
      <c r="J119" s="314"/>
      <c r="K119" s="101">
        <v>34952</v>
      </c>
      <c r="L119" s="102">
        <v>8290</v>
      </c>
      <c r="M119" s="102">
        <v>111675</v>
      </c>
      <c r="N119" s="102">
        <v>7906.5</v>
      </c>
      <c r="O119" s="102">
        <v>106508.46</v>
      </c>
      <c r="P119" s="306" t="s">
        <v>58</v>
      </c>
      <c r="Q119" s="315"/>
      <c r="R119" s="314"/>
      <c r="S119" s="306" t="s">
        <v>231</v>
      </c>
      <c r="T119" s="314"/>
    </row>
    <row r="120" spans="3:20" ht="15">
      <c r="C120" s="307"/>
      <c r="D120" s="310"/>
      <c r="E120" s="311"/>
      <c r="F120" s="100">
        <v>44005.631894560182</v>
      </c>
      <c r="G120" s="306">
        <v>13.119000434875488</v>
      </c>
      <c r="H120" s="314"/>
      <c r="I120" s="306">
        <v>4097112</v>
      </c>
      <c r="J120" s="314"/>
      <c r="K120" s="101">
        <v>35199</v>
      </c>
      <c r="L120" s="102">
        <v>8290</v>
      </c>
      <c r="M120" s="102">
        <v>108757</v>
      </c>
      <c r="N120" s="102">
        <v>7906.5</v>
      </c>
      <c r="O120" s="102">
        <v>103725.38</v>
      </c>
      <c r="P120" s="306" t="s">
        <v>58</v>
      </c>
      <c r="Q120" s="315"/>
      <c r="R120" s="314"/>
      <c r="S120" s="306" t="s">
        <v>231</v>
      </c>
      <c r="T120" s="314"/>
    </row>
    <row r="121" spans="3:20" ht="15">
      <c r="C121" s="307"/>
      <c r="D121" s="310"/>
      <c r="E121" s="311"/>
      <c r="F121" s="100">
        <v>44010.857455868056</v>
      </c>
      <c r="G121" s="306">
        <v>14.883999824523926</v>
      </c>
      <c r="H121" s="314"/>
      <c r="I121" s="306">
        <v>4100116</v>
      </c>
      <c r="J121" s="314"/>
      <c r="K121" s="101">
        <v>35580</v>
      </c>
      <c r="L121" s="102">
        <v>8290</v>
      </c>
      <c r="M121" s="102">
        <v>123388</v>
      </c>
      <c r="N121" s="102">
        <v>7906.5</v>
      </c>
      <c r="O121" s="102">
        <v>117680.34</v>
      </c>
      <c r="P121" s="306" t="s">
        <v>58</v>
      </c>
      <c r="Q121" s="315"/>
      <c r="R121" s="314"/>
      <c r="S121" s="306" t="s">
        <v>231</v>
      </c>
      <c r="T121" s="314"/>
    </row>
    <row r="122" spans="3:20" ht="15">
      <c r="C122" s="307"/>
      <c r="D122" s="310"/>
      <c r="E122" s="311"/>
      <c r="F122" s="100">
        <v>44015.57183487268</v>
      </c>
      <c r="G122" s="306">
        <v>10.880000114440918</v>
      </c>
      <c r="H122" s="314"/>
      <c r="I122" s="306">
        <v>4102611</v>
      </c>
      <c r="J122" s="314"/>
      <c r="K122" s="101">
        <v>35814</v>
      </c>
      <c r="L122" s="102">
        <v>8290</v>
      </c>
      <c r="M122" s="102">
        <v>90195</v>
      </c>
      <c r="N122" s="102">
        <v>7906.5</v>
      </c>
      <c r="O122" s="102">
        <v>86022.720000000001</v>
      </c>
      <c r="P122" s="306" t="s">
        <v>58</v>
      </c>
      <c r="Q122" s="315"/>
      <c r="R122" s="314"/>
      <c r="S122" s="306" t="s">
        <v>231</v>
      </c>
      <c r="T122" s="314"/>
    </row>
    <row r="123" spans="3:20" ht="15">
      <c r="C123" s="307"/>
      <c r="D123" s="310"/>
      <c r="E123" s="311"/>
      <c r="F123" s="100">
        <v>44028.708182870367</v>
      </c>
      <c r="G123" s="306">
        <v>18</v>
      </c>
      <c r="H123" s="314"/>
      <c r="I123" s="306">
        <v>4109282</v>
      </c>
      <c r="J123" s="314"/>
      <c r="K123" s="101">
        <v>36179</v>
      </c>
      <c r="L123" s="102">
        <v>8390</v>
      </c>
      <c r="M123" s="102">
        <v>151020</v>
      </c>
      <c r="N123" s="102">
        <v>7756.5</v>
      </c>
      <c r="O123" s="102">
        <v>139617</v>
      </c>
      <c r="P123" s="306" t="s">
        <v>58</v>
      </c>
      <c r="Q123" s="315"/>
      <c r="R123" s="314"/>
      <c r="S123" s="306" t="s">
        <v>231</v>
      </c>
      <c r="T123" s="314"/>
    </row>
    <row r="124" spans="3:20" ht="15">
      <c r="C124" s="307"/>
      <c r="D124" s="310"/>
      <c r="E124" s="311"/>
      <c r="F124" s="100">
        <v>44033.678579317129</v>
      </c>
      <c r="G124" s="306">
        <v>15.005999565124512</v>
      </c>
      <c r="H124" s="314"/>
      <c r="I124" s="306">
        <v>4110989</v>
      </c>
      <c r="J124" s="314"/>
      <c r="K124" s="101">
        <v>36395</v>
      </c>
      <c r="L124" s="102">
        <v>8390</v>
      </c>
      <c r="M124" s="102">
        <v>125900</v>
      </c>
      <c r="N124" s="102">
        <v>7756.5</v>
      </c>
      <c r="O124" s="102">
        <v>116394.04</v>
      </c>
      <c r="P124" s="306" t="s">
        <v>58</v>
      </c>
      <c r="Q124" s="315"/>
      <c r="R124" s="314"/>
      <c r="S124" s="306" t="s">
        <v>231</v>
      </c>
      <c r="T124" s="314"/>
    </row>
    <row r="125" spans="3:20" ht="15">
      <c r="C125" s="307"/>
      <c r="D125" s="310"/>
      <c r="E125" s="311"/>
      <c r="F125" s="100">
        <v>44042.561192129629</v>
      </c>
      <c r="G125" s="306">
        <v>4.8579998016357422</v>
      </c>
      <c r="H125" s="314"/>
      <c r="I125" s="306">
        <v>4114776</v>
      </c>
      <c r="J125" s="314"/>
      <c r="K125" s="101">
        <v>36714</v>
      </c>
      <c r="L125" s="102">
        <v>8390</v>
      </c>
      <c r="M125" s="102">
        <v>40759</v>
      </c>
      <c r="N125" s="102">
        <v>7756.5</v>
      </c>
      <c r="O125" s="102">
        <v>37681.08</v>
      </c>
      <c r="P125" s="306" t="s">
        <v>58</v>
      </c>
      <c r="Q125" s="315"/>
      <c r="R125" s="314"/>
      <c r="S125" s="306" t="s">
        <v>231</v>
      </c>
      <c r="T125" s="314"/>
    </row>
    <row r="126" spans="3:20" ht="15">
      <c r="C126" s="307"/>
      <c r="D126" s="310"/>
      <c r="E126" s="311"/>
      <c r="F126" s="100">
        <v>44042.565332638886</v>
      </c>
      <c r="G126" s="306">
        <v>9.560999870300293</v>
      </c>
      <c r="H126" s="314"/>
      <c r="I126" s="306">
        <v>4114781</v>
      </c>
      <c r="J126" s="314"/>
      <c r="K126" s="101">
        <v>36714</v>
      </c>
      <c r="L126" s="102">
        <v>8390</v>
      </c>
      <c r="M126" s="102">
        <v>80217</v>
      </c>
      <c r="N126" s="102">
        <v>7756.5</v>
      </c>
      <c r="O126" s="102">
        <v>74159.899999999994</v>
      </c>
      <c r="P126" s="306" t="s">
        <v>58</v>
      </c>
      <c r="Q126" s="315"/>
      <c r="R126" s="314"/>
      <c r="S126" s="306" t="s">
        <v>231</v>
      </c>
      <c r="T126" s="314"/>
    </row>
    <row r="127" spans="3:20" ht="15">
      <c r="C127" s="307"/>
      <c r="D127" s="310"/>
      <c r="E127" s="311"/>
      <c r="F127" s="100">
        <v>44054.516636608794</v>
      </c>
      <c r="G127" s="306">
        <v>14.234000205993652</v>
      </c>
      <c r="H127" s="314"/>
      <c r="I127" s="306">
        <v>4120616</v>
      </c>
      <c r="J127" s="314"/>
      <c r="K127" s="101">
        <v>37012</v>
      </c>
      <c r="L127" s="102">
        <v>8290</v>
      </c>
      <c r="M127" s="102">
        <v>118000</v>
      </c>
      <c r="N127" s="102">
        <v>7756.5</v>
      </c>
      <c r="O127" s="102">
        <v>110406.02</v>
      </c>
      <c r="P127" s="306" t="s">
        <v>58</v>
      </c>
      <c r="Q127" s="315"/>
      <c r="R127" s="314"/>
      <c r="S127" s="306" t="s">
        <v>231</v>
      </c>
      <c r="T127" s="314"/>
    </row>
    <row r="128" spans="3:20" ht="15">
      <c r="C128" s="307"/>
      <c r="D128" s="310"/>
      <c r="E128" s="311"/>
      <c r="F128" s="100">
        <v>44063.82650077546</v>
      </c>
      <c r="G128" s="306">
        <v>16.601999282836914</v>
      </c>
      <c r="H128" s="314"/>
      <c r="I128" s="306">
        <v>4125264</v>
      </c>
      <c r="J128" s="314"/>
      <c r="K128" s="101">
        <v>37401</v>
      </c>
      <c r="L128" s="102">
        <v>8290</v>
      </c>
      <c r="M128" s="102">
        <v>137631</v>
      </c>
      <c r="N128" s="102">
        <v>7756.5</v>
      </c>
      <c r="O128" s="102">
        <v>128773.41</v>
      </c>
      <c r="P128" s="306" t="s">
        <v>58</v>
      </c>
      <c r="Q128" s="315"/>
      <c r="R128" s="314"/>
      <c r="S128" s="306" t="s">
        <v>231</v>
      </c>
      <c r="T128" s="314"/>
    </row>
    <row r="129" spans="3:20" ht="15">
      <c r="C129" s="307"/>
      <c r="D129" s="310"/>
      <c r="E129" s="311"/>
      <c r="F129" s="100">
        <v>44071.550279745366</v>
      </c>
      <c r="G129" s="306">
        <v>16.099000930786133</v>
      </c>
      <c r="H129" s="314"/>
      <c r="I129" s="306">
        <v>4129046</v>
      </c>
      <c r="J129" s="314"/>
      <c r="K129" s="101">
        <v>37741</v>
      </c>
      <c r="L129" s="102">
        <v>8290</v>
      </c>
      <c r="M129" s="102">
        <v>133461</v>
      </c>
      <c r="N129" s="102">
        <v>7756.5</v>
      </c>
      <c r="O129" s="102">
        <v>124871.9</v>
      </c>
      <c r="P129" s="306" t="s">
        <v>58</v>
      </c>
      <c r="Q129" s="315"/>
      <c r="R129" s="314"/>
      <c r="S129" s="306" t="s">
        <v>231</v>
      </c>
      <c r="T129" s="314"/>
    </row>
    <row r="130" spans="3:20" ht="15">
      <c r="C130" s="307"/>
      <c r="D130" s="310"/>
      <c r="E130" s="311"/>
      <c r="F130" s="100">
        <v>44082.669432870367</v>
      </c>
      <c r="G130" s="306">
        <v>15.373000144958496</v>
      </c>
      <c r="H130" s="314"/>
      <c r="I130" s="306">
        <v>4135248</v>
      </c>
      <c r="J130" s="314"/>
      <c r="K130" s="101">
        <v>38080</v>
      </c>
      <c r="L130" s="102">
        <v>8290</v>
      </c>
      <c r="M130" s="102">
        <v>127442</v>
      </c>
      <c r="N130" s="102">
        <v>7756.5</v>
      </c>
      <c r="O130" s="102">
        <v>119240.67</v>
      </c>
      <c r="P130" s="306" t="s">
        <v>58</v>
      </c>
      <c r="Q130" s="315"/>
      <c r="R130" s="314"/>
      <c r="S130" s="306" t="s">
        <v>231</v>
      </c>
      <c r="T130" s="314"/>
    </row>
    <row r="131" spans="3:20" ht="15">
      <c r="C131" s="308"/>
      <c r="D131" s="312"/>
      <c r="E131" s="313"/>
      <c r="F131" s="100">
        <v>44099.741903275462</v>
      </c>
      <c r="G131" s="306">
        <v>16.097000122070313</v>
      </c>
      <c r="H131" s="314"/>
      <c r="I131" s="306">
        <v>4144799</v>
      </c>
      <c r="J131" s="314"/>
      <c r="K131" s="101">
        <v>38428</v>
      </c>
      <c r="L131" s="102">
        <v>8290</v>
      </c>
      <c r="M131" s="102">
        <v>133444</v>
      </c>
      <c r="N131" s="102">
        <v>7756.5</v>
      </c>
      <c r="O131" s="102">
        <v>124856.38</v>
      </c>
      <c r="P131" s="306" t="s">
        <v>58</v>
      </c>
      <c r="Q131" s="315"/>
      <c r="R131" s="314"/>
      <c r="S131" s="306" t="s">
        <v>231</v>
      </c>
      <c r="T131" s="314"/>
    </row>
    <row r="132" spans="3:20" ht="15">
      <c r="C132" s="306" t="s">
        <v>48</v>
      </c>
      <c r="D132" s="306"/>
      <c r="E132" s="309"/>
      <c r="F132" s="100">
        <v>43845.467445138886</v>
      </c>
      <c r="G132" s="306">
        <v>14.661999702453613</v>
      </c>
      <c r="H132" s="314"/>
      <c r="I132" s="306">
        <v>4004876</v>
      </c>
      <c r="J132" s="314"/>
      <c r="K132" s="101">
        <v>33557</v>
      </c>
      <c r="L132" s="102">
        <v>9390</v>
      </c>
      <c r="M132" s="102">
        <v>137676</v>
      </c>
      <c r="N132" s="102">
        <v>8992.43</v>
      </c>
      <c r="O132" s="102">
        <v>131847</v>
      </c>
      <c r="P132" s="306" t="s">
        <v>58</v>
      </c>
      <c r="Q132" s="315"/>
      <c r="R132" s="314"/>
      <c r="S132" s="306" t="s">
        <v>231</v>
      </c>
      <c r="T132" s="314"/>
    </row>
    <row r="133" spans="3:20" ht="15">
      <c r="C133" s="307"/>
      <c r="D133" s="310"/>
      <c r="E133" s="311"/>
      <c r="F133" s="100">
        <v>43852.649121527778</v>
      </c>
      <c r="G133" s="306">
        <v>12.625</v>
      </c>
      <c r="H133" s="314"/>
      <c r="I133" s="306">
        <v>4011877</v>
      </c>
      <c r="J133" s="314"/>
      <c r="K133" s="101">
        <v>33844</v>
      </c>
      <c r="L133" s="102">
        <v>9390</v>
      </c>
      <c r="M133" s="102">
        <v>118549</v>
      </c>
      <c r="N133" s="102">
        <v>8992.43</v>
      </c>
      <c r="O133" s="102">
        <v>113529.42</v>
      </c>
      <c r="P133" s="306" t="s">
        <v>58</v>
      </c>
      <c r="Q133" s="315"/>
      <c r="R133" s="314"/>
      <c r="S133" s="306" t="s">
        <v>231</v>
      </c>
      <c r="T133" s="314"/>
    </row>
    <row r="134" spans="3:20" ht="15">
      <c r="C134" s="307"/>
      <c r="D134" s="310"/>
      <c r="E134" s="311"/>
      <c r="F134" s="100">
        <v>43873.759587465276</v>
      </c>
      <c r="G134" s="306">
        <v>14.64799976348877</v>
      </c>
      <c r="H134" s="314"/>
      <c r="I134" s="306">
        <v>4032189</v>
      </c>
      <c r="J134" s="314"/>
      <c r="K134" s="101">
        <v>34199</v>
      </c>
      <c r="L134" s="102">
        <v>9390</v>
      </c>
      <c r="M134" s="102">
        <v>137545</v>
      </c>
      <c r="N134" s="102">
        <v>8992.43</v>
      </c>
      <c r="O134" s="102">
        <v>131721.10999999999</v>
      </c>
      <c r="P134" s="306" t="s">
        <v>58</v>
      </c>
      <c r="Q134" s="315"/>
      <c r="R134" s="314"/>
      <c r="S134" s="306" t="s">
        <v>231</v>
      </c>
      <c r="T134" s="314"/>
    </row>
    <row r="135" spans="3:20" ht="15">
      <c r="C135" s="307"/>
      <c r="D135" s="310"/>
      <c r="E135" s="311"/>
      <c r="F135" s="100">
        <v>43882.454408645834</v>
      </c>
      <c r="G135" s="306">
        <v>10.37600040435791</v>
      </c>
      <c r="H135" s="314"/>
      <c r="I135" s="306">
        <v>4040798</v>
      </c>
      <c r="J135" s="314"/>
      <c r="K135" s="101">
        <v>34445</v>
      </c>
      <c r="L135" s="102">
        <v>9390</v>
      </c>
      <c r="M135" s="102">
        <v>97431</v>
      </c>
      <c r="N135" s="102">
        <v>8992.43</v>
      </c>
      <c r="O135" s="102">
        <v>93305.45</v>
      </c>
      <c r="P135" s="306" t="s">
        <v>58</v>
      </c>
      <c r="Q135" s="315"/>
      <c r="R135" s="314"/>
      <c r="S135" s="306" t="s">
        <v>231</v>
      </c>
      <c r="T135" s="314"/>
    </row>
    <row r="136" spans="3:20" ht="15">
      <c r="C136" s="307"/>
      <c r="D136" s="310"/>
      <c r="E136" s="311"/>
      <c r="F136" s="100">
        <v>43896.368035416664</v>
      </c>
      <c r="G136" s="306">
        <v>13.895999908447266</v>
      </c>
      <c r="H136" s="314"/>
      <c r="I136" s="306">
        <v>4054588</v>
      </c>
      <c r="J136" s="314"/>
      <c r="K136" s="101">
        <v>34778</v>
      </c>
      <c r="L136" s="102">
        <v>9390</v>
      </c>
      <c r="M136" s="102">
        <v>130483</v>
      </c>
      <c r="N136" s="102">
        <v>8977.2800000000007</v>
      </c>
      <c r="O136" s="102">
        <v>124748.29</v>
      </c>
      <c r="P136" s="306" t="s">
        <v>58</v>
      </c>
      <c r="Q136" s="315"/>
      <c r="R136" s="314"/>
      <c r="S136" s="306" t="s">
        <v>231</v>
      </c>
      <c r="T136" s="314"/>
    </row>
    <row r="137" spans="3:20" ht="15">
      <c r="C137" s="307"/>
      <c r="D137" s="310"/>
      <c r="E137" s="311"/>
      <c r="F137" s="100">
        <v>43907.436031446756</v>
      </c>
      <c r="G137" s="306">
        <v>12.85099983215332</v>
      </c>
      <c r="H137" s="314"/>
      <c r="I137" s="306">
        <v>4064070</v>
      </c>
      <c r="J137" s="314"/>
      <c r="K137" s="101">
        <v>35103</v>
      </c>
      <c r="L137" s="102">
        <v>9390</v>
      </c>
      <c r="M137" s="102">
        <v>120671</v>
      </c>
      <c r="N137" s="102">
        <v>8853.7999999999993</v>
      </c>
      <c r="O137" s="102">
        <v>113780.18</v>
      </c>
      <c r="P137" s="306" t="s">
        <v>58</v>
      </c>
      <c r="Q137" s="315"/>
      <c r="R137" s="314"/>
      <c r="S137" s="306" t="s">
        <v>231</v>
      </c>
      <c r="T137" s="314"/>
    </row>
    <row r="138" spans="3:20" ht="15">
      <c r="C138" s="307"/>
      <c r="D138" s="310"/>
      <c r="E138" s="311"/>
      <c r="F138" s="100">
        <v>43920.318759606482</v>
      </c>
      <c r="G138" s="306">
        <v>7.9239997863769531</v>
      </c>
      <c r="H138" s="314"/>
      <c r="I138" s="306">
        <v>4067672</v>
      </c>
      <c r="J138" s="314"/>
      <c r="K138" s="101">
        <v>35300</v>
      </c>
      <c r="L138" s="102">
        <v>8540</v>
      </c>
      <c r="M138" s="102">
        <v>67671</v>
      </c>
      <c r="N138" s="102">
        <v>7908.8</v>
      </c>
      <c r="O138" s="102">
        <v>62669.33</v>
      </c>
      <c r="P138" s="306" t="s">
        <v>58</v>
      </c>
      <c r="Q138" s="315"/>
      <c r="R138" s="314"/>
      <c r="S138" s="306" t="s">
        <v>231</v>
      </c>
      <c r="T138" s="314"/>
    </row>
    <row r="139" spans="3:20" ht="15">
      <c r="C139" s="307"/>
      <c r="D139" s="310"/>
      <c r="E139" s="311"/>
      <c r="F139" s="100">
        <v>43932.355402696754</v>
      </c>
      <c r="G139" s="306">
        <v>13.786999702453613</v>
      </c>
      <c r="H139" s="314"/>
      <c r="I139" s="306">
        <v>4069798</v>
      </c>
      <c r="J139" s="314"/>
      <c r="K139" s="101">
        <v>35624</v>
      </c>
      <c r="L139" s="102">
        <v>8540</v>
      </c>
      <c r="M139" s="102">
        <v>117741</v>
      </c>
      <c r="N139" s="102">
        <v>7908.8</v>
      </c>
      <c r="O139" s="102">
        <v>109038.62</v>
      </c>
      <c r="P139" s="306" t="s">
        <v>58</v>
      </c>
      <c r="Q139" s="315"/>
      <c r="R139" s="314"/>
      <c r="S139" s="306" t="s">
        <v>231</v>
      </c>
      <c r="T139" s="314"/>
    </row>
    <row r="140" spans="3:20" ht="15">
      <c r="C140" s="307"/>
      <c r="D140" s="310"/>
      <c r="E140" s="311"/>
      <c r="F140" s="100">
        <v>43942.496775196756</v>
      </c>
      <c r="G140" s="306">
        <v>12.309000015258789</v>
      </c>
      <c r="H140" s="314"/>
      <c r="I140" s="306">
        <v>4071921</v>
      </c>
      <c r="J140" s="314"/>
      <c r="K140" s="101">
        <v>35953</v>
      </c>
      <c r="L140" s="102">
        <v>8540</v>
      </c>
      <c r="M140" s="102">
        <v>105119</v>
      </c>
      <c r="N140" s="102">
        <v>7908.8</v>
      </c>
      <c r="O140" s="102">
        <v>97349.41</v>
      </c>
      <c r="P140" s="306" t="s">
        <v>58</v>
      </c>
      <c r="Q140" s="315"/>
      <c r="R140" s="314"/>
      <c r="S140" s="306" t="s">
        <v>231</v>
      </c>
      <c r="T140" s="314"/>
    </row>
    <row r="141" spans="3:20" ht="15">
      <c r="C141" s="307"/>
      <c r="D141" s="310"/>
      <c r="E141" s="311"/>
      <c r="F141" s="100">
        <v>43949.295139386573</v>
      </c>
      <c r="G141" s="306">
        <v>12.970000267028809</v>
      </c>
      <c r="H141" s="314"/>
      <c r="I141" s="306">
        <v>4073808</v>
      </c>
      <c r="J141" s="314"/>
      <c r="K141" s="101">
        <v>36250</v>
      </c>
      <c r="L141" s="102">
        <v>8540</v>
      </c>
      <c r="M141" s="102">
        <v>110764</v>
      </c>
      <c r="N141" s="102">
        <v>7908.8</v>
      </c>
      <c r="O141" s="102">
        <v>102577.13</v>
      </c>
      <c r="P141" s="306" t="s">
        <v>58</v>
      </c>
      <c r="Q141" s="315"/>
      <c r="R141" s="314"/>
      <c r="S141" s="306" t="s">
        <v>231</v>
      </c>
      <c r="T141" s="314"/>
    </row>
    <row r="142" spans="3:20" ht="15">
      <c r="C142" s="307"/>
      <c r="D142" s="310"/>
      <c r="E142" s="311"/>
      <c r="F142" s="100">
        <v>43957.418083530094</v>
      </c>
      <c r="G142" s="306">
        <v>12.576000213623047</v>
      </c>
      <c r="H142" s="314"/>
      <c r="I142" s="306">
        <v>4076383</v>
      </c>
      <c r="J142" s="314"/>
      <c r="K142" s="101">
        <v>36516</v>
      </c>
      <c r="L142" s="102">
        <v>8540</v>
      </c>
      <c r="M142" s="102">
        <v>107399</v>
      </c>
      <c r="N142" s="102">
        <v>7908.8</v>
      </c>
      <c r="O142" s="102">
        <v>99461.07</v>
      </c>
      <c r="P142" s="306" t="s">
        <v>58</v>
      </c>
      <c r="Q142" s="315"/>
      <c r="R142" s="314"/>
      <c r="S142" s="306" t="s">
        <v>231</v>
      </c>
      <c r="T142" s="314"/>
    </row>
    <row r="143" spans="3:20" ht="15">
      <c r="C143" s="307"/>
      <c r="D143" s="310"/>
      <c r="E143" s="311"/>
      <c r="F143" s="100">
        <v>43965.701668946756</v>
      </c>
      <c r="G143" s="306">
        <v>13.326999664306641</v>
      </c>
      <c r="H143" s="314"/>
      <c r="I143" s="306">
        <v>4079586</v>
      </c>
      <c r="J143" s="314"/>
      <c r="K143" s="101">
        <v>36801</v>
      </c>
      <c r="L143" s="102">
        <v>8540</v>
      </c>
      <c r="M143" s="102">
        <v>113813</v>
      </c>
      <c r="N143" s="102">
        <v>7908.8</v>
      </c>
      <c r="O143" s="102">
        <v>105400.57</v>
      </c>
      <c r="P143" s="306" t="s">
        <v>58</v>
      </c>
      <c r="Q143" s="315"/>
      <c r="R143" s="314"/>
      <c r="S143" s="306" t="s">
        <v>231</v>
      </c>
      <c r="T143" s="314"/>
    </row>
    <row r="144" spans="3:20" ht="15">
      <c r="C144" s="307"/>
      <c r="D144" s="310"/>
      <c r="E144" s="311"/>
      <c r="F144" s="100">
        <v>43970.836403506946</v>
      </c>
      <c r="G144" s="306">
        <v>15.541999816894531</v>
      </c>
      <c r="H144" s="314"/>
      <c r="I144" s="306">
        <v>4081554</v>
      </c>
      <c r="J144" s="314"/>
      <c r="K144" s="101">
        <v>37188</v>
      </c>
      <c r="L144" s="102">
        <v>8540</v>
      </c>
      <c r="M144" s="102">
        <v>132729</v>
      </c>
      <c r="N144" s="102">
        <v>7908.8</v>
      </c>
      <c r="O144" s="102">
        <v>122918.56</v>
      </c>
      <c r="P144" s="306" t="s">
        <v>58</v>
      </c>
      <c r="Q144" s="315"/>
      <c r="R144" s="314"/>
      <c r="S144" s="306" t="s">
        <v>231</v>
      </c>
      <c r="T144" s="314"/>
    </row>
    <row r="145" spans="3:20" ht="15">
      <c r="C145" s="307"/>
      <c r="D145" s="310"/>
      <c r="E145" s="311"/>
      <c r="F145" s="100">
        <v>43977.292230092593</v>
      </c>
      <c r="G145" s="306">
        <v>14.133999824523926</v>
      </c>
      <c r="H145" s="314"/>
      <c r="I145" s="306">
        <v>4083970</v>
      </c>
      <c r="J145" s="314"/>
      <c r="K145" s="101">
        <v>37508</v>
      </c>
      <c r="L145" s="102">
        <v>8540</v>
      </c>
      <c r="M145" s="102">
        <v>120704</v>
      </c>
      <c r="N145" s="102">
        <v>7908.8</v>
      </c>
      <c r="O145" s="102">
        <v>111782.98</v>
      </c>
      <c r="P145" s="306" t="s">
        <v>58</v>
      </c>
      <c r="Q145" s="315"/>
      <c r="R145" s="314"/>
      <c r="S145" s="306" t="s">
        <v>231</v>
      </c>
      <c r="T145" s="314"/>
    </row>
    <row r="146" spans="3:20" ht="15">
      <c r="C146" s="307"/>
      <c r="D146" s="310"/>
      <c r="E146" s="311"/>
      <c r="F146" s="100">
        <v>43983.336759143516</v>
      </c>
      <c r="G146" s="306">
        <v>13.645999908447266</v>
      </c>
      <c r="H146" s="314"/>
      <c r="I146" s="306">
        <v>4086603</v>
      </c>
      <c r="J146" s="314"/>
      <c r="K146" s="101">
        <v>37864</v>
      </c>
      <c r="L146" s="102">
        <v>8540</v>
      </c>
      <c r="M146" s="102">
        <v>116537</v>
      </c>
      <c r="N146" s="102">
        <v>7906.5</v>
      </c>
      <c r="O146" s="102">
        <v>107892.1</v>
      </c>
      <c r="P146" s="306" t="s">
        <v>58</v>
      </c>
      <c r="Q146" s="315"/>
      <c r="R146" s="314"/>
      <c r="S146" s="306" t="s">
        <v>231</v>
      </c>
      <c r="T146" s="314"/>
    </row>
    <row r="147" spans="3:20" ht="15">
      <c r="C147" s="307"/>
      <c r="D147" s="310"/>
      <c r="E147" s="311"/>
      <c r="F147" s="100">
        <v>43993.475180590278</v>
      </c>
      <c r="G147" s="306">
        <v>15.149999618530273</v>
      </c>
      <c r="H147" s="314"/>
      <c r="I147" s="306">
        <v>4091383</v>
      </c>
      <c r="J147" s="314"/>
      <c r="K147" s="101">
        <v>38183</v>
      </c>
      <c r="L147" s="102">
        <v>8540</v>
      </c>
      <c r="M147" s="102">
        <v>129381</v>
      </c>
      <c r="N147" s="102">
        <v>7906.5</v>
      </c>
      <c r="O147" s="102">
        <v>119783.47</v>
      </c>
      <c r="P147" s="306" t="s">
        <v>58</v>
      </c>
      <c r="Q147" s="315"/>
      <c r="R147" s="314"/>
      <c r="S147" s="306" t="s">
        <v>231</v>
      </c>
      <c r="T147" s="314"/>
    </row>
    <row r="148" spans="3:20" ht="15">
      <c r="C148" s="307"/>
      <c r="D148" s="310"/>
      <c r="E148" s="311"/>
      <c r="F148" s="100">
        <v>44000.277784803242</v>
      </c>
      <c r="G148" s="306">
        <v>10.324000358581543</v>
      </c>
      <c r="H148" s="314"/>
      <c r="I148" s="306">
        <v>4094566</v>
      </c>
      <c r="J148" s="314"/>
      <c r="K148" s="101">
        <v>38385</v>
      </c>
      <c r="L148" s="102">
        <v>8290</v>
      </c>
      <c r="M148" s="102">
        <v>85586</v>
      </c>
      <c r="N148" s="102">
        <v>7906.5</v>
      </c>
      <c r="O148" s="102">
        <v>81626.710000000006</v>
      </c>
      <c r="P148" s="306" t="s">
        <v>58</v>
      </c>
      <c r="Q148" s="315"/>
      <c r="R148" s="314"/>
      <c r="S148" s="306" t="s">
        <v>231</v>
      </c>
      <c r="T148" s="314"/>
    </row>
    <row r="149" spans="3:20" ht="15">
      <c r="C149" s="307"/>
      <c r="D149" s="310"/>
      <c r="E149" s="311"/>
      <c r="F149" s="100">
        <v>44008.316122719909</v>
      </c>
      <c r="G149" s="306">
        <v>14.562000274658203</v>
      </c>
      <c r="H149" s="314"/>
      <c r="I149" s="306">
        <v>4098622</v>
      </c>
      <c r="J149" s="314"/>
      <c r="K149" s="101">
        <v>38690</v>
      </c>
      <c r="L149" s="102">
        <v>8290</v>
      </c>
      <c r="M149" s="102">
        <v>120719</v>
      </c>
      <c r="N149" s="102">
        <v>7906.5</v>
      </c>
      <c r="O149" s="102">
        <v>115134.45</v>
      </c>
      <c r="P149" s="306" t="s">
        <v>58</v>
      </c>
      <c r="Q149" s="315"/>
      <c r="R149" s="314"/>
      <c r="S149" s="306" t="s">
        <v>231</v>
      </c>
      <c r="T149" s="314"/>
    </row>
    <row r="150" spans="3:20" ht="15">
      <c r="C150" s="307"/>
      <c r="D150" s="310"/>
      <c r="E150" s="311"/>
      <c r="F150" s="100">
        <v>44020.593351006944</v>
      </c>
      <c r="G150" s="306">
        <v>13.298999786376953</v>
      </c>
      <c r="H150" s="314"/>
      <c r="I150" s="306">
        <v>4105395</v>
      </c>
      <c r="J150" s="314"/>
      <c r="K150" s="101">
        <v>39023</v>
      </c>
      <c r="L150" s="102">
        <v>8290</v>
      </c>
      <c r="M150" s="102">
        <v>110249</v>
      </c>
      <c r="N150" s="102">
        <v>7906.5</v>
      </c>
      <c r="O150" s="102">
        <v>105148.54</v>
      </c>
      <c r="P150" s="306" t="s">
        <v>58</v>
      </c>
      <c r="Q150" s="315"/>
      <c r="R150" s="314"/>
      <c r="S150" s="306" t="s">
        <v>231</v>
      </c>
      <c r="T150" s="314"/>
    </row>
    <row r="151" spans="3:20" ht="15">
      <c r="C151" s="307"/>
      <c r="D151" s="310"/>
      <c r="E151" s="311"/>
      <c r="F151" s="100">
        <v>44027.623553124999</v>
      </c>
      <c r="G151" s="306">
        <v>12.87399959564209</v>
      </c>
      <c r="H151" s="314"/>
      <c r="I151" s="306">
        <v>4108830</v>
      </c>
      <c r="J151" s="314"/>
      <c r="K151" s="101">
        <v>39307</v>
      </c>
      <c r="L151" s="102">
        <v>8390</v>
      </c>
      <c r="M151" s="102">
        <v>108013</v>
      </c>
      <c r="N151" s="102">
        <v>7756.5</v>
      </c>
      <c r="O151" s="102">
        <v>99857.18</v>
      </c>
      <c r="P151" s="306" t="s">
        <v>58</v>
      </c>
      <c r="Q151" s="315"/>
      <c r="R151" s="314"/>
      <c r="S151" s="306" t="s">
        <v>231</v>
      </c>
      <c r="T151" s="314"/>
    </row>
    <row r="152" spans="3:20" ht="15">
      <c r="C152" s="307"/>
      <c r="D152" s="310"/>
      <c r="E152" s="311"/>
      <c r="F152" s="100">
        <v>44047.603379629625</v>
      </c>
      <c r="G152" s="306">
        <v>10.269000053405762</v>
      </c>
      <c r="H152" s="314"/>
      <c r="I152" s="306">
        <v>4117277</v>
      </c>
      <c r="J152" s="314"/>
      <c r="K152" s="101">
        <v>39518</v>
      </c>
      <c r="L152" s="102">
        <v>8390</v>
      </c>
      <c r="M152" s="102">
        <v>86157</v>
      </c>
      <c r="N152" s="102">
        <v>7756.5</v>
      </c>
      <c r="O152" s="102">
        <v>79651.5</v>
      </c>
      <c r="P152" s="306" t="s">
        <v>58</v>
      </c>
      <c r="Q152" s="315"/>
      <c r="R152" s="314"/>
      <c r="S152" s="306" t="s">
        <v>231</v>
      </c>
      <c r="T152" s="314"/>
    </row>
    <row r="153" spans="3:20" ht="15">
      <c r="C153" s="307"/>
      <c r="D153" s="310"/>
      <c r="E153" s="311"/>
      <c r="F153" s="100">
        <v>44057.379899803236</v>
      </c>
      <c r="G153" s="306">
        <v>15.157999992370605</v>
      </c>
      <c r="H153" s="314"/>
      <c r="I153" s="306">
        <v>4122064</v>
      </c>
      <c r="J153" s="314"/>
      <c r="K153" s="101">
        <v>39842</v>
      </c>
      <c r="L153" s="102">
        <v>8290</v>
      </c>
      <c r="M153" s="102">
        <v>125660</v>
      </c>
      <c r="N153" s="102">
        <v>7756.5</v>
      </c>
      <c r="O153" s="102">
        <v>117573.02</v>
      </c>
      <c r="P153" s="306" t="s">
        <v>58</v>
      </c>
      <c r="Q153" s="315"/>
      <c r="R153" s="314"/>
      <c r="S153" s="306" t="s">
        <v>231</v>
      </c>
      <c r="T153" s="314"/>
    </row>
    <row r="154" spans="3:20" ht="15">
      <c r="C154" s="307"/>
      <c r="D154" s="310"/>
      <c r="E154" s="311"/>
      <c r="F154" s="100">
        <v>44070.347632488425</v>
      </c>
      <c r="G154" s="306">
        <v>14.689999580383301</v>
      </c>
      <c r="H154" s="314"/>
      <c r="I154" s="306">
        <v>4128385</v>
      </c>
      <c r="J154" s="314"/>
      <c r="K154" s="101">
        <v>40178</v>
      </c>
      <c r="L154" s="102">
        <v>8290</v>
      </c>
      <c r="M154" s="102">
        <v>121780</v>
      </c>
      <c r="N154" s="102">
        <v>7756.5</v>
      </c>
      <c r="O154" s="102">
        <v>113942.98</v>
      </c>
      <c r="P154" s="306" t="s">
        <v>58</v>
      </c>
      <c r="Q154" s="315"/>
      <c r="R154" s="314"/>
      <c r="S154" s="306" t="s">
        <v>231</v>
      </c>
      <c r="T154" s="314"/>
    </row>
    <row r="155" spans="3:20" ht="15">
      <c r="C155" s="307"/>
      <c r="D155" s="310"/>
      <c r="E155" s="311"/>
      <c r="F155" s="100">
        <v>44078.73869633102</v>
      </c>
      <c r="G155" s="306">
        <v>14.428000450134277</v>
      </c>
      <c r="H155" s="314"/>
      <c r="I155" s="306">
        <v>4133165</v>
      </c>
      <c r="J155" s="314"/>
      <c r="K155" s="101">
        <v>40498</v>
      </c>
      <c r="L155" s="102">
        <v>8290</v>
      </c>
      <c r="M155" s="102">
        <v>119608</v>
      </c>
      <c r="N155" s="102">
        <v>7756.5</v>
      </c>
      <c r="O155" s="102">
        <v>111910.79</v>
      </c>
      <c r="P155" s="306" t="s">
        <v>58</v>
      </c>
      <c r="Q155" s="315"/>
      <c r="R155" s="314"/>
      <c r="S155" s="306" t="s">
        <v>231</v>
      </c>
      <c r="T155" s="314"/>
    </row>
    <row r="156" spans="3:20" ht="15">
      <c r="C156" s="307"/>
      <c r="D156" s="310"/>
      <c r="E156" s="311"/>
      <c r="F156" s="100">
        <v>44089.708141435185</v>
      </c>
      <c r="G156" s="306">
        <v>14.795999526977539</v>
      </c>
      <c r="H156" s="314"/>
      <c r="I156" s="306">
        <v>4139102</v>
      </c>
      <c r="J156" s="314"/>
      <c r="K156" s="101">
        <v>40806</v>
      </c>
      <c r="L156" s="102">
        <v>8290</v>
      </c>
      <c r="M156" s="102">
        <v>122659</v>
      </c>
      <c r="N156" s="102">
        <v>7756.5</v>
      </c>
      <c r="O156" s="102">
        <v>114765.17</v>
      </c>
      <c r="P156" s="306" t="s">
        <v>58</v>
      </c>
      <c r="Q156" s="315"/>
      <c r="R156" s="314"/>
      <c r="S156" s="306" t="s">
        <v>231</v>
      </c>
      <c r="T156" s="314"/>
    </row>
    <row r="157" spans="3:20" ht="15">
      <c r="C157" s="307"/>
      <c r="D157" s="310"/>
      <c r="E157" s="311"/>
      <c r="F157" s="100">
        <v>44097.722928240742</v>
      </c>
      <c r="G157" s="306">
        <v>15.420999526977539</v>
      </c>
      <c r="H157" s="314"/>
      <c r="I157" s="306">
        <v>4143655</v>
      </c>
      <c r="J157" s="314"/>
      <c r="K157" s="101">
        <v>41143</v>
      </c>
      <c r="L157" s="102">
        <v>8290</v>
      </c>
      <c r="M157" s="102">
        <v>127840</v>
      </c>
      <c r="N157" s="102">
        <v>7756.5</v>
      </c>
      <c r="O157" s="102">
        <v>119612.98</v>
      </c>
      <c r="P157" s="306" t="s">
        <v>58</v>
      </c>
      <c r="Q157" s="315"/>
      <c r="R157" s="314"/>
      <c r="S157" s="306" t="s">
        <v>231</v>
      </c>
      <c r="T157" s="314"/>
    </row>
    <row r="158" spans="3:20" ht="15">
      <c r="C158" s="308"/>
      <c r="D158" s="312"/>
      <c r="E158" s="313"/>
      <c r="F158" s="100">
        <v>44104.584704594905</v>
      </c>
      <c r="G158" s="306">
        <v>15.944999694824219</v>
      </c>
      <c r="H158" s="314"/>
      <c r="I158" s="306">
        <v>4147461</v>
      </c>
      <c r="J158" s="314"/>
      <c r="K158" s="101">
        <v>41482</v>
      </c>
      <c r="L158" s="102">
        <v>8290</v>
      </c>
      <c r="M158" s="102">
        <v>132184</v>
      </c>
      <c r="N158" s="102">
        <v>7756.5</v>
      </c>
      <c r="O158" s="102">
        <v>123677.39</v>
      </c>
      <c r="P158" s="306" t="s">
        <v>58</v>
      </c>
      <c r="Q158" s="315"/>
      <c r="R158" s="314"/>
      <c r="S158" s="306" t="s">
        <v>231</v>
      </c>
      <c r="T158" s="314"/>
    </row>
    <row r="159" spans="3:20" ht="15">
      <c r="C159" s="306" t="s">
        <v>49</v>
      </c>
      <c r="D159" s="306"/>
      <c r="E159" s="309"/>
      <c r="F159" s="100">
        <v>43852.654773530092</v>
      </c>
      <c r="G159" s="306">
        <v>11.602999687194824</v>
      </c>
      <c r="H159" s="314"/>
      <c r="I159" s="306">
        <v>4011888</v>
      </c>
      <c r="J159" s="314"/>
      <c r="K159" s="101">
        <v>32747</v>
      </c>
      <c r="L159" s="102">
        <v>9390</v>
      </c>
      <c r="M159" s="102">
        <v>108952</v>
      </c>
      <c r="N159" s="102">
        <v>8992.43</v>
      </c>
      <c r="O159" s="102">
        <v>104339.16</v>
      </c>
      <c r="P159" s="306" t="s">
        <v>58</v>
      </c>
      <c r="Q159" s="315"/>
      <c r="R159" s="314"/>
      <c r="S159" s="306" t="s">
        <v>231</v>
      </c>
      <c r="T159" s="314"/>
    </row>
    <row r="160" spans="3:20" ht="15">
      <c r="C160" s="307"/>
      <c r="D160" s="310"/>
      <c r="E160" s="311"/>
      <c r="F160" s="100">
        <v>43860.443480011571</v>
      </c>
      <c r="G160" s="306">
        <v>14.130000114440918</v>
      </c>
      <c r="H160" s="314"/>
      <c r="I160" s="306">
        <v>4019323</v>
      </c>
      <c r="J160" s="314"/>
      <c r="K160" s="101">
        <v>33102</v>
      </c>
      <c r="L160" s="102">
        <v>9390</v>
      </c>
      <c r="M160" s="102">
        <v>132681</v>
      </c>
      <c r="N160" s="102">
        <v>8992.43</v>
      </c>
      <c r="O160" s="102">
        <v>127063.03</v>
      </c>
      <c r="P160" s="306" t="s">
        <v>58</v>
      </c>
      <c r="Q160" s="315"/>
      <c r="R160" s="314"/>
      <c r="S160" s="306" t="s">
        <v>231</v>
      </c>
      <c r="T160" s="314"/>
    </row>
    <row r="161" spans="3:20" ht="15">
      <c r="C161" s="307"/>
      <c r="D161" s="310"/>
      <c r="E161" s="311"/>
      <c r="F161" s="100">
        <v>43881.29249255787</v>
      </c>
      <c r="G161" s="306">
        <v>11.512999534606934</v>
      </c>
      <c r="H161" s="314"/>
      <c r="I161" s="306">
        <v>4039650</v>
      </c>
      <c r="J161" s="314"/>
      <c r="K161" s="101">
        <v>33379</v>
      </c>
      <c r="L161" s="102">
        <v>9390</v>
      </c>
      <c r="M161" s="102">
        <v>108107</v>
      </c>
      <c r="N161" s="102">
        <v>8992.43</v>
      </c>
      <c r="O161" s="102">
        <v>103529.84</v>
      </c>
      <c r="P161" s="306" t="s">
        <v>58</v>
      </c>
      <c r="Q161" s="315"/>
      <c r="R161" s="314"/>
      <c r="S161" s="306" t="s">
        <v>231</v>
      </c>
      <c r="T161" s="314"/>
    </row>
    <row r="162" spans="3:20" ht="15">
      <c r="C162" s="307"/>
      <c r="D162" s="310"/>
      <c r="E162" s="311"/>
      <c r="F162" s="100">
        <v>43892.511303622683</v>
      </c>
      <c r="G162" s="306">
        <v>13.130999565124512</v>
      </c>
      <c r="H162" s="314"/>
      <c r="I162" s="306">
        <v>4050554</v>
      </c>
      <c r="J162" s="314"/>
      <c r="K162" s="101">
        <v>33701</v>
      </c>
      <c r="L162" s="102">
        <v>9390</v>
      </c>
      <c r="M162" s="102">
        <v>123300</v>
      </c>
      <c r="N162" s="102">
        <v>8977.2800000000007</v>
      </c>
      <c r="O162" s="102">
        <v>117880.66</v>
      </c>
      <c r="P162" s="306" t="s">
        <v>58</v>
      </c>
      <c r="Q162" s="315"/>
      <c r="R162" s="314"/>
      <c r="S162" s="306" t="s">
        <v>231</v>
      </c>
      <c r="T162" s="314"/>
    </row>
    <row r="163" spans="3:20" ht="15">
      <c r="C163" s="307"/>
      <c r="D163" s="310"/>
      <c r="E163" s="311"/>
      <c r="F163" s="100">
        <v>43907.311585300922</v>
      </c>
      <c r="G163" s="306">
        <v>12.75100040435791</v>
      </c>
      <c r="H163" s="314"/>
      <c r="I163" s="306">
        <v>4063954</v>
      </c>
      <c r="J163" s="314"/>
      <c r="K163" s="101">
        <v>339860</v>
      </c>
      <c r="L163" s="102">
        <v>9390</v>
      </c>
      <c r="M163" s="102">
        <v>119732</v>
      </c>
      <c r="N163" s="102">
        <v>8853.7999999999993</v>
      </c>
      <c r="O163" s="102">
        <v>112894.8</v>
      </c>
      <c r="P163" s="306" t="s">
        <v>58</v>
      </c>
      <c r="Q163" s="315"/>
      <c r="R163" s="314"/>
      <c r="S163" s="306" t="s">
        <v>231</v>
      </c>
      <c r="T163" s="314"/>
    </row>
    <row r="164" spans="3:20" ht="15">
      <c r="C164" s="307"/>
      <c r="D164" s="310"/>
      <c r="E164" s="311"/>
      <c r="F164" s="100">
        <v>43913.773752777779</v>
      </c>
      <c r="G164" s="306">
        <v>9.9840002059936523</v>
      </c>
      <c r="H164" s="314"/>
      <c r="I164" s="306">
        <v>4066529</v>
      </c>
      <c r="J164" s="314"/>
      <c r="K164" s="101">
        <v>34266</v>
      </c>
      <c r="L164" s="102">
        <v>8590</v>
      </c>
      <c r="M164" s="102">
        <v>85763</v>
      </c>
      <c r="N164" s="102">
        <v>7908.8</v>
      </c>
      <c r="O164" s="102">
        <v>78961.460000000006</v>
      </c>
      <c r="P164" s="306" t="s">
        <v>58</v>
      </c>
      <c r="Q164" s="315"/>
      <c r="R164" s="314"/>
      <c r="S164" s="306" t="s">
        <v>231</v>
      </c>
      <c r="T164" s="314"/>
    </row>
    <row r="165" spans="3:20" ht="15">
      <c r="C165" s="307"/>
      <c r="D165" s="310"/>
      <c r="E165" s="311"/>
      <c r="F165" s="100">
        <v>43924.526597881944</v>
      </c>
      <c r="G165" s="306">
        <v>14.447999954223633</v>
      </c>
      <c r="H165" s="314"/>
      <c r="I165" s="306">
        <v>4068478</v>
      </c>
      <c r="J165" s="314"/>
      <c r="K165" s="101">
        <v>34619</v>
      </c>
      <c r="L165" s="102">
        <v>8540</v>
      </c>
      <c r="M165" s="102">
        <v>123386</v>
      </c>
      <c r="N165" s="102">
        <v>7908.8</v>
      </c>
      <c r="O165" s="102">
        <v>114266.34</v>
      </c>
      <c r="P165" s="306" t="s">
        <v>58</v>
      </c>
      <c r="Q165" s="315"/>
      <c r="R165" s="314"/>
      <c r="S165" s="306" t="s">
        <v>231</v>
      </c>
      <c r="T165" s="314"/>
    </row>
    <row r="166" spans="3:20" ht="15">
      <c r="C166" s="307"/>
      <c r="D166" s="310"/>
      <c r="E166" s="311"/>
      <c r="F166" s="100">
        <v>43930.869157754627</v>
      </c>
      <c r="G166" s="306">
        <v>17.482000350952148</v>
      </c>
      <c r="H166" s="314"/>
      <c r="I166" s="306">
        <v>4069709</v>
      </c>
      <c r="J166" s="314"/>
      <c r="K166" s="101">
        <v>35087</v>
      </c>
      <c r="L166" s="102">
        <v>8540</v>
      </c>
      <c r="M166" s="102">
        <v>149296</v>
      </c>
      <c r="N166" s="102">
        <v>7908.8</v>
      </c>
      <c r="O166" s="102">
        <v>138261.64000000001</v>
      </c>
      <c r="P166" s="306" t="s">
        <v>58</v>
      </c>
      <c r="Q166" s="315"/>
      <c r="R166" s="314"/>
      <c r="S166" s="306" t="s">
        <v>231</v>
      </c>
      <c r="T166" s="314"/>
    </row>
    <row r="167" spans="3:20" ht="15">
      <c r="C167" s="307"/>
      <c r="D167" s="310"/>
      <c r="E167" s="311"/>
      <c r="F167" s="100">
        <v>43939.363119444446</v>
      </c>
      <c r="G167" s="306">
        <v>12.12600040435791</v>
      </c>
      <c r="H167" s="314"/>
      <c r="I167" s="306">
        <v>4071253</v>
      </c>
      <c r="J167" s="314"/>
      <c r="K167" s="101">
        <v>35400</v>
      </c>
      <c r="L167" s="102">
        <v>8540</v>
      </c>
      <c r="M167" s="102">
        <v>103556</v>
      </c>
      <c r="N167" s="102">
        <v>7908.8</v>
      </c>
      <c r="O167" s="102">
        <v>95902.11</v>
      </c>
      <c r="P167" s="306" t="s">
        <v>58</v>
      </c>
      <c r="Q167" s="315"/>
      <c r="R167" s="314"/>
      <c r="S167" s="306" t="s">
        <v>231</v>
      </c>
      <c r="T167" s="314"/>
    </row>
    <row r="168" spans="3:20" ht="15">
      <c r="C168" s="307"/>
      <c r="D168" s="310"/>
      <c r="E168" s="311"/>
      <c r="F168" s="100">
        <v>43947.521364236112</v>
      </c>
      <c r="G168" s="306">
        <v>15.895999908447266</v>
      </c>
      <c r="H168" s="314"/>
      <c r="I168" s="306">
        <v>4073313</v>
      </c>
      <c r="J168" s="314"/>
      <c r="K168" s="101">
        <v>35802</v>
      </c>
      <c r="L168" s="102">
        <v>8540</v>
      </c>
      <c r="M168" s="102">
        <v>135752</v>
      </c>
      <c r="N168" s="102">
        <v>7908.8</v>
      </c>
      <c r="O168" s="102">
        <v>125718.28</v>
      </c>
      <c r="P168" s="306" t="s">
        <v>58</v>
      </c>
      <c r="Q168" s="315"/>
      <c r="R168" s="314"/>
      <c r="S168" s="306" t="s">
        <v>231</v>
      </c>
      <c r="T168" s="314"/>
    </row>
    <row r="169" spans="3:20" ht="15">
      <c r="C169" s="307"/>
      <c r="D169" s="310"/>
      <c r="E169" s="311"/>
      <c r="F169" s="100">
        <v>43960.612109293979</v>
      </c>
      <c r="G169" s="306">
        <v>14.871000289916992</v>
      </c>
      <c r="H169" s="314"/>
      <c r="I169" s="306">
        <v>4077610</v>
      </c>
      <c r="J169" s="314"/>
      <c r="K169" s="101">
        <v>36055</v>
      </c>
      <c r="L169" s="102">
        <v>8540</v>
      </c>
      <c r="M169" s="102">
        <v>126998</v>
      </c>
      <c r="N169" s="102">
        <v>7908.8</v>
      </c>
      <c r="O169" s="102">
        <v>117611.77</v>
      </c>
      <c r="P169" s="306" t="s">
        <v>58</v>
      </c>
      <c r="Q169" s="315"/>
      <c r="R169" s="314"/>
      <c r="S169" s="306" t="s">
        <v>231</v>
      </c>
      <c r="T169" s="314"/>
    </row>
    <row r="170" spans="3:20" ht="15">
      <c r="C170" s="307"/>
      <c r="D170" s="310"/>
      <c r="E170" s="311"/>
      <c r="F170" s="100">
        <v>43967.620532754627</v>
      </c>
      <c r="G170" s="306">
        <v>13.267000198364258</v>
      </c>
      <c r="H170" s="314"/>
      <c r="I170" s="306">
        <v>4080288</v>
      </c>
      <c r="J170" s="314"/>
      <c r="K170" s="101">
        <v>36334</v>
      </c>
      <c r="L170" s="102">
        <v>8540</v>
      </c>
      <c r="M170" s="102">
        <v>113300</v>
      </c>
      <c r="N170" s="102">
        <v>7908.8</v>
      </c>
      <c r="O170" s="102">
        <v>104926.05</v>
      </c>
      <c r="P170" s="306" t="s">
        <v>58</v>
      </c>
      <c r="Q170" s="315"/>
      <c r="R170" s="314"/>
      <c r="S170" s="306" t="s">
        <v>231</v>
      </c>
      <c r="T170" s="314"/>
    </row>
    <row r="171" spans="3:20" ht="15">
      <c r="C171" s="307"/>
      <c r="D171" s="310"/>
      <c r="E171" s="311"/>
      <c r="F171" s="100">
        <v>43972.283735335644</v>
      </c>
      <c r="G171" s="306">
        <v>13.630999565124512</v>
      </c>
      <c r="H171" s="314"/>
      <c r="I171" s="306">
        <v>4082045</v>
      </c>
      <c r="J171" s="314"/>
      <c r="K171" s="101">
        <v>36621</v>
      </c>
      <c r="L171" s="102">
        <v>8540</v>
      </c>
      <c r="M171" s="102">
        <v>116409</v>
      </c>
      <c r="N171" s="102">
        <v>7908.8</v>
      </c>
      <c r="O171" s="102">
        <v>107804.84</v>
      </c>
      <c r="P171" s="306" t="s">
        <v>58</v>
      </c>
      <c r="Q171" s="315"/>
      <c r="R171" s="314"/>
      <c r="S171" s="306" t="s">
        <v>231</v>
      </c>
      <c r="T171" s="314"/>
    </row>
    <row r="172" spans="3:20" ht="15">
      <c r="C172" s="307"/>
      <c r="D172" s="310"/>
      <c r="E172" s="311"/>
      <c r="F172" s="100">
        <v>43975.604513506943</v>
      </c>
      <c r="G172" s="306">
        <v>9.7460002899169922</v>
      </c>
      <c r="H172" s="314"/>
      <c r="I172" s="306">
        <v>4083522</v>
      </c>
      <c r="J172" s="314"/>
      <c r="K172" s="101">
        <v>36812</v>
      </c>
      <c r="L172" s="102">
        <v>8540</v>
      </c>
      <c r="M172" s="102">
        <v>83231</v>
      </c>
      <c r="N172" s="102">
        <v>7908.8</v>
      </c>
      <c r="O172" s="102">
        <v>77079.16</v>
      </c>
      <c r="P172" s="306" t="s">
        <v>58</v>
      </c>
      <c r="Q172" s="315"/>
      <c r="R172" s="314"/>
      <c r="S172" s="306" t="s">
        <v>231</v>
      </c>
      <c r="T172" s="314"/>
    </row>
    <row r="173" spans="3:20" ht="15">
      <c r="C173" s="307"/>
      <c r="D173" s="310"/>
      <c r="E173" s="311"/>
      <c r="F173" s="100">
        <v>43980.706727164354</v>
      </c>
      <c r="G173" s="306">
        <v>13.088000297546387</v>
      </c>
      <c r="H173" s="314"/>
      <c r="I173" s="306">
        <v>4085598</v>
      </c>
      <c r="J173" s="314"/>
      <c r="K173" s="101">
        <v>37069</v>
      </c>
      <c r="L173" s="102">
        <v>8540</v>
      </c>
      <c r="M173" s="102">
        <v>111772</v>
      </c>
      <c r="N173" s="102">
        <v>7908.8</v>
      </c>
      <c r="O173" s="102">
        <v>103510.38</v>
      </c>
      <c r="P173" s="306" t="s">
        <v>58</v>
      </c>
      <c r="Q173" s="315"/>
      <c r="R173" s="314"/>
      <c r="S173" s="306" t="s">
        <v>231</v>
      </c>
      <c r="T173" s="314"/>
    </row>
    <row r="174" spans="3:20" ht="15">
      <c r="C174" s="307"/>
      <c r="D174" s="310"/>
      <c r="E174" s="311"/>
      <c r="F174" s="100">
        <v>43986.705098692131</v>
      </c>
      <c r="G174" s="306">
        <v>12.911999702453613</v>
      </c>
      <c r="H174" s="314"/>
      <c r="I174" s="306">
        <v>4088263</v>
      </c>
      <c r="J174" s="314"/>
      <c r="K174" s="101">
        <v>37388</v>
      </c>
      <c r="L174" s="102">
        <v>8540</v>
      </c>
      <c r="M174" s="102">
        <v>110268</v>
      </c>
      <c r="N174" s="102">
        <v>7906.5</v>
      </c>
      <c r="O174" s="102">
        <v>102088.73</v>
      </c>
      <c r="P174" s="306" t="s">
        <v>58</v>
      </c>
      <c r="Q174" s="315"/>
      <c r="R174" s="314"/>
      <c r="S174" s="306" t="s">
        <v>231</v>
      </c>
      <c r="T174" s="314"/>
    </row>
    <row r="175" spans="3:20" ht="15">
      <c r="C175" s="307"/>
      <c r="D175" s="310"/>
      <c r="E175" s="311"/>
      <c r="F175" s="100">
        <v>43993.676103935184</v>
      </c>
      <c r="G175" s="306">
        <v>13.616000175476074</v>
      </c>
      <c r="H175" s="314"/>
      <c r="I175" s="306">
        <v>4091519</v>
      </c>
      <c r="J175" s="314"/>
      <c r="K175" s="101">
        <v>37676</v>
      </c>
      <c r="L175" s="102">
        <v>8540</v>
      </c>
      <c r="M175" s="102">
        <v>116281</v>
      </c>
      <c r="N175" s="102">
        <v>7906.5</v>
      </c>
      <c r="O175" s="102">
        <v>107654.91</v>
      </c>
      <c r="P175" s="306" t="s">
        <v>58</v>
      </c>
      <c r="Q175" s="315"/>
      <c r="R175" s="314"/>
      <c r="S175" s="306" t="s">
        <v>231</v>
      </c>
      <c r="T175" s="314"/>
    </row>
    <row r="176" spans="3:20" ht="15">
      <c r="C176" s="307"/>
      <c r="D176" s="310"/>
      <c r="E176" s="311"/>
      <c r="F176" s="100">
        <v>44000.272242094907</v>
      </c>
      <c r="G176" s="306">
        <v>13.019000053405762</v>
      </c>
      <c r="H176" s="314"/>
      <c r="I176" s="306">
        <v>4094561</v>
      </c>
      <c r="J176" s="314"/>
      <c r="K176" s="101">
        <v>379620</v>
      </c>
      <c r="L176" s="102">
        <v>8290</v>
      </c>
      <c r="M176" s="102">
        <v>107928</v>
      </c>
      <c r="N176" s="102">
        <v>7906.5</v>
      </c>
      <c r="O176" s="102">
        <v>102934.73</v>
      </c>
      <c r="P176" s="306" t="s">
        <v>58</v>
      </c>
      <c r="Q176" s="315"/>
      <c r="R176" s="314"/>
      <c r="S176" s="306" t="s">
        <v>231</v>
      </c>
      <c r="T176" s="314"/>
    </row>
    <row r="177" spans="3:20" ht="15">
      <c r="C177" s="307"/>
      <c r="D177" s="310"/>
      <c r="E177" s="311"/>
      <c r="F177" s="100">
        <v>44006.604230902776</v>
      </c>
      <c r="G177" s="306">
        <v>15.222999572753906</v>
      </c>
      <c r="H177" s="314"/>
      <c r="I177" s="306">
        <v>4097627</v>
      </c>
      <c r="J177" s="314"/>
      <c r="K177" s="101">
        <v>38284</v>
      </c>
      <c r="L177" s="102">
        <v>8290</v>
      </c>
      <c r="M177" s="102">
        <v>126199</v>
      </c>
      <c r="N177" s="102">
        <v>7906.5</v>
      </c>
      <c r="O177" s="102">
        <v>120360.65</v>
      </c>
      <c r="P177" s="306" t="s">
        <v>58</v>
      </c>
      <c r="Q177" s="315"/>
      <c r="R177" s="314"/>
      <c r="S177" s="306" t="s">
        <v>231</v>
      </c>
      <c r="T177" s="314"/>
    </row>
    <row r="178" spans="3:20" ht="15">
      <c r="C178" s="307"/>
      <c r="D178" s="310"/>
      <c r="E178" s="311"/>
      <c r="F178" s="100">
        <v>44010.388368981483</v>
      </c>
      <c r="G178" s="306">
        <v>12.680999755859375</v>
      </c>
      <c r="H178" s="314"/>
      <c r="I178" s="306">
        <v>4099823</v>
      </c>
      <c r="J178" s="314"/>
      <c r="K178" s="101">
        <v>38585</v>
      </c>
      <c r="L178" s="102">
        <v>8290</v>
      </c>
      <c r="M178" s="102">
        <v>105125</v>
      </c>
      <c r="N178" s="102">
        <v>7906.5</v>
      </c>
      <c r="O178" s="102">
        <v>100262.33</v>
      </c>
      <c r="P178" s="306" t="s">
        <v>58</v>
      </c>
      <c r="Q178" s="315"/>
      <c r="R178" s="314"/>
      <c r="S178" s="306" t="s">
        <v>231</v>
      </c>
      <c r="T178" s="314"/>
    </row>
    <row r="179" spans="3:20" ht="15">
      <c r="C179" s="307"/>
      <c r="D179" s="310"/>
      <c r="E179" s="311"/>
      <c r="F179" s="100">
        <v>44017.40438417824</v>
      </c>
      <c r="G179" s="306">
        <v>14.050999641418457</v>
      </c>
      <c r="H179" s="314"/>
      <c r="I179" s="306">
        <v>4103695</v>
      </c>
      <c r="J179" s="314"/>
      <c r="K179" s="101">
        <v>38915</v>
      </c>
      <c r="L179" s="102">
        <v>8290</v>
      </c>
      <c r="M179" s="102">
        <v>116483</v>
      </c>
      <c r="N179" s="102">
        <v>7906.5</v>
      </c>
      <c r="O179" s="102">
        <v>111094.23</v>
      </c>
      <c r="P179" s="306" t="s">
        <v>58</v>
      </c>
      <c r="Q179" s="315"/>
      <c r="R179" s="314"/>
      <c r="S179" s="306" t="s">
        <v>231</v>
      </c>
      <c r="T179" s="314"/>
    </row>
    <row r="180" spans="3:20" ht="15">
      <c r="C180" s="307"/>
      <c r="D180" s="310"/>
      <c r="E180" s="311"/>
      <c r="F180" s="100">
        <v>44022.471158101849</v>
      </c>
      <c r="G180" s="306">
        <v>12.454999923706055</v>
      </c>
      <c r="H180" s="314"/>
      <c r="I180" s="306">
        <v>4106409</v>
      </c>
      <c r="J180" s="314"/>
      <c r="K180" s="101">
        <v>39187</v>
      </c>
      <c r="L180" s="102">
        <v>8290</v>
      </c>
      <c r="M180" s="102">
        <v>103252</v>
      </c>
      <c r="N180" s="102">
        <v>7906.5</v>
      </c>
      <c r="O180" s="102">
        <v>98475.45</v>
      </c>
      <c r="P180" s="306" t="s">
        <v>58</v>
      </c>
      <c r="Q180" s="315"/>
      <c r="R180" s="314"/>
      <c r="S180" s="306" t="s">
        <v>231</v>
      </c>
      <c r="T180" s="314"/>
    </row>
    <row r="181" spans="3:20" ht="15">
      <c r="C181" s="307"/>
      <c r="D181" s="310"/>
      <c r="E181" s="311"/>
      <c r="F181" s="100">
        <v>44034.32670586805</v>
      </c>
      <c r="G181" s="306">
        <v>15.293000221252441</v>
      </c>
      <c r="H181" s="314"/>
      <c r="I181" s="306">
        <v>4111189</v>
      </c>
      <c r="J181" s="314"/>
      <c r="K181" s="101">
        <v>39545</v>
      </c>
      <c r="L181" s="102">
        <v>8390</v>
      </c>
      <c r="M181" s="102">
        <v>128308</v>
      </c>
      <c r="N181" s="102">
        <v>7756.5</v>
      </c>
      <c r="O181" s="102">
        <v>118620.16</v>
      </c>
      <c r="P181" s="306" t="s">
        <v>58</v>
      </c>
      <c r="Q181" s="315"/>
      <c r="R181" s="314"/>
      <c r="S181" s="306" t="s">
        <v>231</v>
      </c>
      <c r="T181" s="314"/>
    </row>
    <row r="182" spans="3:20" ht="15">
      <c r="C182" s="307"/>
      <c r="D182" s="310"/>
      <c r="E182" s="311"/>
      <c r="F182" s="100">
        <v>44040.614928622686</v>
      </c>
      <c r="G182" s="306">
        <v>14.604000091552734</v>
      </c>
      <c r="H182" s="314"/>
      <c r="I182" s="306">
        <v>4113791</v>
      </c>
      <c r="J182" s="314"/>
      <c r="K182" s="101">
        <v>39819</v>
      </c>
      <c r="L182" s="102">
        <v>8390</v>
      </c>
      <c r="M182" s="102">
        <v>122528</v>
      </c>
      <c r="N182" s="102">
        <v>7756.5</v>
      </c>
      <c r="O182" s="102">
        <v>113275.93</v>
      </c>
      <c r="P182" s="306" t="s">
        <v>58</v>
      </c>
      <c r="Q182" s="315"/>
      <c r="R182" s="314"/>
      <c r="S182" s="306" t="s">
        <v>231</v>
      </c>
      <c r="T182" s="314"/>
    </row>
    <row r="183" spans="3:20" ht="15">
      <c r="C183" s="307"/>
      <c r="D183" s="310"/>
      <c r="E183" s="311"/>
      <c r="F183" s="100">
        <v>44048.57452415509</v>
      </c>
      <c r="G183" s="306">
        <v>15.414999961853027</v>
      </c>
      <c r="H183" s="314"/>
      <c r="I183" s="306">
        <v>4117764</v>
      </c>
      <c r="J183" s="314"/>
      <c r="K183" s="101">
        <v>40134</v>
      </c>
      <c r="L183" s="102">
        <v>8390</v>
      </c>
      <c r="M183" s="102">
        <v>129332</v>
      </c>
      <c r="N183" s="102">
        <v>7756.5</v>
      </c>
      <c r="O183" s="102">
        <v>119566.45</v>
      </c>
      <c r="P183" s="306" t="s">
        <v>58</v>
      </c>
      <c r="Q183" s="315"/>
      <c r="R183" s="314"/>
      <c r="S183" s="306" t="s">
        <v>231</v>
      </c>
      <c r="T183" s="314"/>
    </row>
    <row r="184" spans="3:20" ht="15">
      <c r="C184" s="307"/>
      <c r="D184" s="310"/>
      <c r="E184" s="311"/>
      <c r="F184" s="100">
        <v>44070.347921724533</v>
      </c>
      <c r="G184" s="306">
        <v>13.630000114440918</v>
      </c>
      <c r="H184" s="314"/>
      <c r="I184" s="306">
        <v>4128386</v>
      </c>
      <c r="J184" s="314"/>
      <c r="K184" s="101">
        <v>40392</v>
      </c>
      <c r="L184" s="102">
        <v>8290</v>
      </c>
      <c r="M184" s="102">
        <v>112993</v>
      </c>
      <c r="N184" s="102">
        <v>7756.5</v>
      </c>
      <c r="O184" s="102">
        <v>105721.09</v>
      </c>
      <c r="P184" s="306" t="s">
        <v>58</v>
      </c>
      <c r="Q184" s="315"/>
      <c r="R184" s="314"/>
      <c r="S184" s="306" t="s">
        <v>231</v>
      </c>
      <c r="T184" s="314"/>
    </row>
    <row r="185" spans="3:20" ht="15">
      <c r="C185" s="307"/>
      <c r="D185" s="310"/>
      <c r="E185" s="311"/>
      <c r="F185" s="100">
        <v>44079.028956215276</v>
      </c>
      <c r="G185" s="306">
        <v>14.923999786376953</v>
      </c>
      <c r="H185" s="314"/>
      <c r="I185" s="306">
        <v>4133373</v>
      </c>
      <c r="J185" s="314"/>
      <c r="K185" s="101">
        <v>40710</v>
      </c>
      <c r="L185" s="102">
        <v>8290</v>
      </c>
      <c r="M185" s="102">
        <v>123720</v>
      </c>
      <c r="N185" s="102">
        <v>7756.5</v>
      </c>
      <c r="O185" s="102">
        <v>115758.01</v>
      </c>
      <c r="P185" s="306" t="s">
        <v>58</v>
      </c>
      <c r="Q185" s="315"/>
      <c r="R185" s="314"/>
      <c r="S185" s="306" t="s">
        <v>231</v>
      </c>
      <c r="T185" s="314"/>
    </row>
    <row r="186" spans="3:20" ht="15">
      <c r="C186" s="307"/>
      <c r="D186" s="310"/>
      <c r="E186" s="311"/>
      <c r="F186" s="100">
        <v>44088.775762581019</v>
      </c>
      <c r="G186" s="306">
        <v>13.706999778747559</v>
      </c>
      <c r="H186" s="314"/>
      <c r="I186" s="306">
        <v>4138650</v>
      </c>
      <c r="J186" s="314"/>
      <c r="K186" s="101">
        <v>14016</v>
      </c>
      <c r="L186" s="102">
        <v>8290</v>
      </c>
      <c r="M186" s="102">
        <v>113631</v>
      </c>
      <c r="N186" s="102">
        <v>7756.5</v>
      </c>
      <c r="O186" s="102">
        <v>106318.34</v>
      </c>
      <c r="P186" s="306" t="s">
        <v>58</v>
      </c>
      <c r="Q186" s="315"/>
      <c r="R186" s="314"/>
      <c r="S186" s="306" t="s">
        <v>231</v>
      </c>
      <c r="T186" s="314"/>
    </row>
    <row r="187" spans="3:20" ht="15">
      <c r="C187" s="307"/>
      <c r="D187" s="310"/>
      <c r="E187" s="311"/>
      <c r="F187" s="100">
        <v>44095.406990277777</v>
      </c>
      <c r="G187" s="306">
        <v>14.296999931335449</v>
      </c>
      <c r="H187" s="314"/>
      <c r="I187" s="306">
        <v>4142294</v>
      </c>
      <c r="J187" s="314"/>
      <c r="K187" s="101">
        <v>41338</v>
      </c>
      <c r="L187" s="102">
        <v>8290</v>
      </c>
      <c r="M187" s="102">
        <v>118522</v>
      </c>
      <c r="N187" s="102">
        <v>7756.5</v>
      </c>
      <c r="O187" s="102">
        <v>110894.68</v>
      </c>
      <c r="P187" s="306" t="s">
        <v>58</v>
      </c>
      <c r="Q187" s="315"/>
      <c r="R187" s="314"/>
      <c r="S187" s="306" t="s">
        <v>231</v>
      </c>
      <c r="T187" s="314"/>
    </row>
    <row r="188" spans="3:20" ht="15">
      <c r="C188" s="308"/>
      <c r="D188" s="312"/>
      <c r="E188" s="313"/>
      <c r="F188" s="100">
        <v>44102.660775497687</v>
      </c>
      <c r="G188" s="306">
        <v>14.425000190734863</v>
      </c>
      <c r="H188" s="314"/>
      <c r="I188" s="306">
        <v>4146466</v>
      </c>
      <c r="J188" s="314"/>
      <c r="K188" s="101">
        <v>41632</v>
      </c>
      <c r="L188" s="102">
        <v>8290</v>
      </c>
      <c r="M188" s="102">
        <v>119583</v>
      </c>
      <c r="N188" s="102">
        <v>7756.5</v>
      </c>
      <c r="O188" s="102">
        <v>111887.52</v>
      </c>
      <c r="P188" s="306" t="s">
        <v>58</v>
      </c>
      <c r="Q188" s="315"/>
      <c r="R188" s="314"/>
      <c r="S188" s="306" t="s">
        <v>231</v>
      </c>
      <c r="T188" s="314"/>
    </row>
    <row r="189" spans="3:20" ht="15">
      <c r="C189" s="306" t="s">
        <v>156</v>
      </c>
      <c r="D189" s="306"/>
      <c r="E189" s="309"/>
      <c r="F189" s="100">
        <v>43844.419735844909</v>
      </c>
      <c r="G189" s="306">
        <v>60</v>
      </c>
      <c r="H189" s="314"/>
      <c r="I189" s="306">
        <v>4003913</v>
      </c>
      <c r="J189" s="314"/>
      <c r="K189" s="101">
        <v>0</v>
      </c>
      <c r="L189" s="102">
        <v>9390</v>
      </c>
      <c r="M189" s="102">
        <v>563400</v>
      </c>
      <c r="N189" s="102">
        <v>8992.43</v>
      </c>
      <c r="O189" s="102">
        <v>539545.75</v>
      </c>
      <c r="P189" s="306" t="s">
        <v>58</v>
      </c>
      <c r="Q189" s="315"/>
      <c r="R189" s="314"/>
      <c r="S189" s="306" t="s">
        <v>231</v>
      </c>
      <c r="T189" s="314"/>
    </row>
    <row r="190" spans="3:20" ht="15">
      <c r="C190" s="307"/>
      <c r="D190" s="310"/>
      <c r="E190" s="311"/>
      <c r="F190" s="100">
        <v>43854.625738807867</v>
      </c>
      <c r="G190" s="306">
        <v>60</v>
      </c>
      <c r="H190" s="314"/>
      <c r="I190" s="306">
        <v>4013854</v>
      </c>
      <c r="J190" s="314"/>
      <c r="K190" s="101">
        <v>0</v>
      </c>
      <c r="L190" s="102">
        <v>9390</v>
      </c>
      <c r="M190" s="102">
        <v>563400</v>
      </c>
      <c r="N190" s="102">
        <v>8992.43</v>
      </c>
      <c r="O190" s="102">
        <v>539545.75</v>
      </c>
      <c r="P190" s="306" t="s">
        <v>58</v>
      </c>
      <c r="Q190" s="315"/>
      <c r="R190" s="314"/>
      <c r="S190" s="306" t="s">
        <v>231</v>
      </c>
      <c r="T190" s="314"/>
    </row>
    <row r="191" spans="3:20" ht="15">
      <c r="C191" s="308"/>
      <c r="D191" s="312"/>
      <c r="E191" s="313"/>
      <c r="F191" s="100">
        <v>43886.417988425921</v>
      </c>
      <c r="G191" s="306">
        <v>60</v>
      </c>
      <c r="H191" s="314"/>
      <c r="I191" s="306">
        <v>4044541</v>
      </c>
      <c r="J191" s="314"/>
      <c r="K191" s="101">
        <v>0</v>
      </c>
      <c r="L191" s="102">
        <v>9390</v>
      </c>
      <c r="M191" s="102">
        <v>563400</v>
      </c>
      <c r="N191" s="102">
        <v>8992.43</v>
      </c>
      <c r="O191" s="102">
        <v>539545.75</v>
      </c>
      <c r="P191" s="306" t="s">
        <v>58</v>
      </c>
      <c r="Q191" s="315"/>
      <c r="R191" s="314"/>
      <c r="S191" s="306" t="s">
        <v>231</v>
      </c>
      <c r="T191" s="314"/>
    </row>
    <row r="193" spans="3:15">
      <c r="C193" s="245" t="s">
        <v>465</v>
      </c>
      <c r="D193" s="245" t="s">
        <v>481</v>
      </c>
      <c r="E193" s="245" t="s">
        <v>466</v>
      </c>
      <c r="F193" s="245" t="s">
        <v>467</v>
      </c>
      <c r="G193" s="245" t="s">
        <v>468</v>
      </c>
      <c r="H193" s="246" t="s">
        <v>120</v>
      </c>
      <c r="I193" s="245" t="s">
        <v>54</v>
      </c>
      <c r="J193" s="245" t="s">
        <v>469</v>
      </c>
      <c r="K193" s="246" t="s">
        <v>228</v>
      </c>
      <c r="L193" s="245" t="s">
        <v>470</v>
      </c>
      <c r="M193" s="247" t="s">
        <v>471</v>
      </c>
      <c r="N193" s="246" t="s">
        <v>472</v>
      </c>
      <c r="O193" s="246" t="s">
        <v>473</v>
      </c>
    </row>
    <row r="194" spans="3:15" ht="67.5">
      <c r="C194" s="220" t="s">
        <v>474</v>
      </c>
      <c r="D194" s="221" t="s">
        <v>231</v>
      </c>
      <c r="E194" s="221">
        <v>4166550</v>
      </c>
      <c r="F194" s="222">
        <v>44138.34734699074</v>
      </c>
      <c r="G194" s="222">
        <v>44138.349239351854</v>
      </c>
      <c r="H194" s="223" t="s">
        <v>47</v>
      </c>
      <c r="I194" s="221">
        <v>39921</v>
      </c>
      <c r="J194" s="224">
        <v>15.652999877929688</v>
      </c>
      <c r="K194" s="223" t="s">
        <v>475</v>
      </c>
      <c r="L194" s="225">
        <v>129763</v>
      </c>
      <c r="M194" s="226">
        <v>7754.45</v>
      </c>
      <c r="N194" s="227">
        <v>121380.41</v>
      </c>
      <c r="O194" s="223" t="s">
        <v>58</v>
      </c>
    </row>
    <row r="195" spans="3:15" ht="14.25">
      <c r="C195" s="228"/>
      <c r="D195" s="221" t="s">
        <v>231</v>
      </c>
      <c r="E195" s="221">
        <v>4166752</v>
      </c>
      <c r="F195" s="222">
        <v>44138.615452812497</v>
      </c>
      <c r="G195" s="222">
        <v>44138.617547141199</v>
      </c>
      <c r="H195" s="223" t="s">
        <v>48</v>
      </c>
      <c r="I195" s="221">
        <v>42716</v>
      </c>
      <c r="J195" s="224">
        <v>14.128999710083008</v>
      </c>
      <c r="K195" s="223" t="s">
        <v>475</v>
      </c>
      <c r="L195" s="225">
        <v>117129</v>
      </c>
      <c r="M195" s="226">
        <v>7754.45</v>
      </c>
      <c r="N195" s="227">
        <v>109562.63</v>
      </c>
      <c r="O195" s="223" t="s">
        <v>58</v>
      </c>
    </row>
    <row r="196" spans="3:15" ht="14.25">
      <c r="C196" s="228"/>
      <c r="D196" s="221" t="s">
        <v>231</v>
      </c>
      <c r="E196" s="221">
        <v>4167141</v>
      </c>
      <c r="F196" s="222">
        <v>44139.380800844905</v>
      </c>
      <c r="G196" s="222">
        <v>44139.3839071412</v>
      </c>
      <c r="H196" s="223" t="s">
        <v>59</v>
      </c>
      <c r="I196" s="221">
        <v>134247</v>
      </c>
      <c r="J196" s="224">
        <v>30</v>
      </c>
      <c r="K196" s="223" t="s">
        <v>475</v>
      </c>
      <c r="L196" s="225">
        <v>248700</v>
      </c>
      <c r="M196" s="226">
        <v>7754.45</v>
      </c>
      <c r="N196" s="227">
        <v>232633.5</v>
      </c>
      <c r="O196" s="223" t="s">
        <v>58</v>
      </c>
    </row>
    <row r="197" spans="3:15" ht="14.25">
      <c r="C197" s="228"/>
      <c r="D197" s="221" t="s">
        <v>231</v>
      </c>
      <c r="E197" s="221">
        <v>4169945</v>
      </c>
      <c r="F197" s="222">
        <v>44144.395301192126</v>
      </c>
      <c r="G197" s="222">
        <v>44144.398554363426</v>
      </c>
      <c r="H197" s="223" t="s">
        <v>46</v>
      </c>
      <c r="I197" s="221">
        <v>33916</v>
      </c>
      <c r="J197" s="224">
        <v>30</v>
      </c>
      <c r="K197" s="223" t="s">
        <v>475</v>
      </c>
      <c r="L197" s="225">
        <v>248700</v>
      </c>
      <c r="M197" s="226">
        <v>7754.45</v>
      </c>
      <c r="N197" s="227">
        <v>232633.5</v>
      </c>
      <c r="O197" s="223" t="s">
        <v>58</v>
      </c>
    </row>
    <row r="198" spans="3:15" ht="14.25">
      <c r="C198" s="228"/>
      <c r="D198" s="221" t="s">
        <v>231</v>
      </c>
      <c r="E198" s="221">
        <v>4170031</v>
      </c>
      <c r="F198" s="222">
        <v>44144.526723692128</v>
      </c>
      <c r="G198" s="222">
        <v>44144.528727858793</v>
      </c>
      <c r="H198" s="223" t="s">
        <v>49</v>
      </c>
      <c r="I198" s="221">
        <v>43151</v>
      </c>
      <c r="J198" s="224">
        <v>13.869999885559082</v>
      </c>
      <c r="K198" s="223" t="s">
        <v>475</v>
      </c>
      <c r="L198" s="225">
        <v>114982</v>
      </c>
      <c r="M198" s="226">
        <v>7754.45</v>
      </c>
      <c r="N198" s="227">
        <v>107554.23</v>
      </c>
      <c r="O198" s="223" t="s">
        <v>58</v>
      </c>
    </row>
    <row r="199" spans="3:15" ht="14.25">
      <c r="C199" s="228"/>
      <c r="D199" s="221" t="s">
        <v>231</v>
      </c>
      <c r="E199" s="221">
        <v>4170883</v>
      </c>
      <c r="F199" s="222">
        <v>44145.97034378472</v>
      </c>
      <c r="G199" s="222">
        <v>44145.972459178236</v>
      </c>
      <c r="H199" s="223" t="s">
        <v>47</v>
      </c>
      <c r="I199" s="221">
        <v>40346</v>
      </c>
      <c r="J199" s="224">
        <v>16.378000259399414</v>
      </c>
      <c r="K199" s="223" t="s">
        <v>475</v>
      </c>
      <c r="L199" s="225">
        <v>135774</v>
      </c>
      <c r="M199" s="226">
        <v>7754.45</v>
      </c>
      <c r="N199" s="227">
        <v>127002.39</v>
      </c>
      <c r="O199" s="223" t="s">
        <v>476</v>
      </c>
    </row>
    <row r="200" spans="3:15" ht="14.25">
      <c r="C200" s="228"/>
      <c r="D200" s="221" t="s">
        <v>231</v>
      </c>
      <c r="E200" s="221">
        <v>4171747</v>
      </c>
      <c r="F200" s="222">
        <v>44147.518134687496</v>
      </c>
      <c r="G200" s="222">
        <v>44147.520394872685</v>
      </c>
      <c r="H200" s="223" t="s">
        <v>48</v>
      </c>
      <c r="I200" s="221">
        <v>43026</v>
      </c>
      <c r="J200" s="224">
        <v>14.013999938964844</v>
      </c>
      <c r="K200" s="223" t="s">
        <v>475</v>
      </c>
      <c r="L200" s="225">
        <v>116176</v>
      </c>
      <c r="M200" s="226">
        <v>7754.45</v>
      </c>
      <c r="N200" s="227">
        <v>108670.87</v>
      </c>
      <c r="O200" s="223" t="s">
        <v>476</v>
      </c>
    </row>
    <row r="201" spans="3:15" ht="14.25">
      <c r="C201" s="228"/>
      <c r="D201" s="221" t="s">
        <v>231</v>
      </c>
      <c r="E201" s="221">
        <v>4172551</v>
      </c>
      <c r="F201" s="222">
        <v>44148.737281331014</v>
      </c>
      <c r="G201" s="222">
        <v>44148.740478738422</v>
      </c>
      <c r="H201" s="223" t="s">
        <v>61</v>
      </c>
      <c r="I201" s="221">
        <v>73215</v>
      </c>
      <c r="J201" s="224">
        <v>30</v>
      </c>
      <c r="K201" s="223" t="s">
        <v>475</v>
      </c>
      <c r="L201" s="225">
        <v>248700</v>
      </c>
      <c r="M201" s="226">
        <v>7754.45</v>
      </c>
      <c r="N201" s="227">
        <v>232633.5</v>
      </c>
      <c r="O201" s="223" t="s">
        <v>476</v>
      </c>
    </row>
    <row r="202" spans="3:15" ht="14.25">
      <c r="C202" s="228"/>
      <c r="D202" s="221" t="s">
        <v>231</v>
      </c>
      <c r="E202" s="221">
        <v>614</v>
      </c>
      <c r="F202" s="222">
        <v>44153.422237384257</v>
      </c>
      <c r="G202" s="222">
        <v>44153.424515474537</v>
      </c>
      <c r="H202" s="223" t="s">
        <v>47</v>
      </c>
      <c r="I202" s="221">
        <v>40742</v>
      </c>
      <c r="J202" s="224">
        <v>15.019000053405762</v>
      </c>
      <c r="K202" s="223" t="s">
        <v>477</v>
      </c>
      <c r="L202" s="225">
        <v>123006</v>
      </c>
      <c r="M202" s="226">
        <v>7754.45</v>
      </c>
      <c r="N202" s="227">
        <v>116464.09</v>
      </c>
      <c r="O202" s="223" t="s">
        <v>476</v>
      </c>
    </row>
    <row r="203" spans="3:15" ht="14.25">
      <c r="C203" s="228"/>
      <c r="D203" s="221" t="s">
        <v>231</v>
      </c>
      <c r="E203" s="221">
        <v>632</v>
      </c>
      <c r="F203" s="222">
        <v>44153.448592326386</v>
      </c>
      <c r="G203" s="222">
        <v>44153.450813159718</v>
      </c>
      <c r="H203" s="223" t="s">
        <v>49</v>
      </c>
      <c r="I203" s="221">
        <v>43433</v>
      </c>
      <c r="J203" s="224">
        <v>14.312999725341797</v>
      </c>
      <c r="K203" s="223" t="s">
        <v>477</v>
      </c>
      <c r="L203" s="225">
        <v>117223</v>
      </c>
      <c r="M203" s="226">
        <v>7754.45</v>
      </c>
      <c r="N203" s="227">
        <v>110989.45</v>
      </c>
      <c r="O203" s="223" t="s">
        <v>476</v>
      </c>
    </row>
    <row r="204" spans="3:15" ht="14.25">
      <c r="C204" s="228"/>
      <c r="D204" s="221" t="s">
        <v>231</v>
      </c>
      <c r="E204" s="221">
        <v>772</v>
      </c>
      <c r="F204" s="222">
        <v>44153.622009803235</v>
      </c>
      <c r="G204" s="222">
        <v>44153.625146412036</v>
      </c>
      <c r="H204" s="223" t="s">
        <v>46</v>
      </c>
      <c r="I204" s="221">
        <v>34268</v>
      </c>
      <c r="J204" s="224">
        <v>30</v>
      </c>
      <c r="K204" s="223" t="s">
        <v>477</v>
      </c>
      <c r="L204" s="225">
        <v>245700</v>
      </c>
      <c r="M204" s="226">
        <v>7754.45</v>
      </c>
      <c r="N204" s="227">
        <v>232633.5</v>
      </c>
      <c r="O204" s="223" t="s">
        <v>476</v>
      </c>
    </row>
    <row r="205" spans="3:15" ht="14.25">
      <c r="C205" s="228"/>
      <c r="D205" s="221" t="s">
        <v>231</v>
      </c>
      <c r="E205" s="221">
        <v>860</v>
      </c>
      <c r="F205" s="222">
        <v>44153.721919594907</v>
      </c>
      <c r="G205" s="222">
        <v>44153.723701157403</v>
      </c>
      <c r="H205" s="223" t="s">
        <v>48</v>
      </c>
      <c r="I205" s="221">
        <v>43297</v>
      </c>
      <c r="J205" s="224">
        <v>11.774999618530273</v>
      </c>
      <c r="K205" s="223" t="s">
        <v>477</v>
      </c>
      <c r="L205" s="225">
        <v>96437</v>
      </c>
      <c r="M205" s="226">
        <v>7754.45</v>
      </c>
      <c r="N205" s="227">
        <v>91308.65</v>
      </c>
      <c r="O205" s="223" t="s">
        <v>476</v>
      </c>
    </row>
    <row r="206" spans="3:15" ht="14.25">
      <c r="C206" s="228"/>
      <c r="D206" s="221" t="s">
        <v>231</v>
      </c>
      <c r="E206" s="221">
        <v>862</v>
      </c>
      <c r="F206" s="222">
        <v>44153.724897881941</v>
      </c>
      <c r="G206" s="222">
        <v>44153.726018402776</v>
      </c>
      <c r="H206" s="223" t="s">
        <v>63</v>
      </c>
      <c r="I206" s="221">
        <v>230000</v>
      </c>
      <c r="J206" s="224">
        <v>7.995999813079834</v>
      </c>
      <c r="K206" s="223" t="s">
        <v>475</v>
      </c>
      <c r="L206" s="225">
        <v>66287</v>
      </c>
      <c r="M206" s="226">
        <v>7767.45</v>
      </c>
      <c r="N206" s="227">
        <v>62108.53</v>
      </c>
      <c r="O206" s="223" t="s">
        <v>64</v>
      </c>
    </row>
    <row r="207" spans="3:15" ht="14.25">
      <c r="C207" s="228"/>
      <c r="D207" s="221" t="s">
        <v>231</v>
      </c>
      <c r="E207" s="221">
        <v>2587</v>
      </c>
      <c r="F207" s="222">
        <v>44156.505065891201</v>
      </c>
      <c r="G207" s="222">
        <v>44156.507882210644</v>
      </c>
      <c r="H207" s="223" t="s">
        <v>62</v>
      </c>
      <c r="I207" s="221">
        <v>69296</v>
      </c>
      <c r="J207" s="224">
        <v>30</v>
      </c>
      <c r="K207" s="223" t="s">
        <v>477</v>
      </c>
      <c r="L207" s="225">
        <v>245700</v>
      </c>
      <c r="M207" s="226">
        <v>7754.45</v>
      </c>
      <c r="N207" s="227">
        <v>232633.5</v>
      </c>
      <c r="O207" s="223" t="s">
        <v>476</v>
      </c>
    </row>
    <row r="208" spans="3:15" ht="14.25">
      <c r="C208" s="228"/>
      <c r="D208" s="221" t="s">
        <v>231</v>
      </c>
      <c r="E208" s="221">
        <v>3247</v>
      </c>
      <c r="F208" s="222">
        <v>44157.562767905089</v>
      </c>
      <c r="G208" s="222">
        <v>44157.564731828701</v>
      </c>
      <c r="H208" s="223" t="s">
        <v>49</v>
      </c>
      <c r="I208" s="221">
        <v>43784</v>
      </c>
      <c r="J208" s="224">
        <v>14.91100025177002</v>
      </c>
      <c r="K208" s="223" t="s">
        <v>477</v>
      </c>
      <c r="L208" s="225">
        <v>122121</v>
      </c>
      <c r="M208" s="226">
        <v>7754.45</v>
      </c>
      <c r="N208" s="227">
        <v>115626.61</v>
      </c>
      <c r="O208" s="223" t="s">
        <v>476</v>
      </c>
    </row>
    <row r="209" spans="3:15" ht="14.25">
      <c r="C209" s="228"/>
      <c r="D209" s="221" t="s">
        <v>231</v>
      </c>
      <c r="E209" s="221">
        <v>3916</v>
      </c>
      <c r="F209" s="222">
        <v>44158.740419791662</v>
      </c>
      <c r="G209" s="222">
        <v>44158.743203391205</v>
      </c>
      <c r="H209" s="223" t="s">
        <v>47</v>
      </c>
      <c r="I209" s="221">
        <v>41141</v>
      </c>
      <c r="J209" s="224">
        <v>15.984999656677246</v>
      </c>
      <c r="K209" s="223" t="s">
        <v>477</v>
      </c>
      <c r="L209" s="225">
        <v>130917</v>
      </c>
      <c r="M209" s="226">
        <v>7754.45</v>
      </c>
      <c r="N209" s="227">
        <v>123954.88</v>
      </c>
      <c r="O209" s="223" t="s">
        <v>476</v>
      </c>
    </row>
    <row r="210" spans="3:15" ht="14.25">
      <c r="C210" s="228"/>
      <c r="D210" s="221" t="s">
        <v>231</v>
      </c>
      <c r="E210" s="221">
        <v>4865</v>
      </c>
      <c r="F210" s="222">
        <v>44160.477956793977</v>
      </c>
      <c r="G210" s="222">
        <v>44160.480884456018</v>
      </c>
      <c r="H210" s="223" t="s">
        <v>46</v>
      </c>
      <c r="I210" s="221">
        <v>34600</v>
      </c>
      <c r="J210" s="224">
        <v>30</v>
      </c>
      <c r="K210" s="223" t="s">
        <v>477</v>
      </c>
      <c r="L210" s="225">
        <v>245700</v>
      </c>
      <c r="M210" s="226">
        <v>7754.45</v>
      </c>
      <c r="N210" s="227">
        <v>232633.5</v>
      </c>
      <c r="O210" s="223" t="s">
        <v>476</v>
      </c>
    </row>
    <row r="211" spans="3:15" ht="14.25">
      <c r="C211" s="228"/>
      <c r="D211" s="221" t="s">
        <v>231</v>
      </c>
      <c r="E211" s="221">
        <v>4871</v>
      </c>
      <c r="F211" s="222">
        <v>44160.48526512731</v>
      </c>
      <c r="G211" s="222">
        <v>44160.48799603009</v>
      </c>
      <c r="H211" s="223" t="s">
        <v>48</v>
      </c>
      <c r="I211" s="221">
        <v>43573</v>
      </c>
      <c r="J211" s="224">
        <v>12.902000427246094</v>
      </c>
      <c r="K211" s="223" t="s">
        <v>477</v>
      </c>
      <c r="L211" s="225">
        <v>105667</v>
      </c>
      <c r="M211" s="226">
        <v>7754.45</v>
      </c>
      <c r="N211" s="227">
        <v>100047.92</v>
      </c>
      <c r="O211" s="223" t="s">
        <v>476</v>
      </c>
    </row>
    <row r="212" spans="3:15" ht="14.25">
      <c r="C212" s="228"/>
      <c r="D212" s="221" t="s">
        <v>231</v>
      </c>
      <c r="E212" s="221">
        <v>4987</v>
      </c>
      <c r="F212" s="222">
        <v>44160.634346412036</v>
      </c>
      <c r="G212" s="222">
        <v>44160.636729594902</v>
      </c>
      <c r="H212" s="223" t="s">
        <v>63</v>
      </c>
      <c r="I212" s="221">
        <v>43903</v>
      </c>
      <c r="J212" s="224">
        <v>11.003999710083008</v>
      </c>
      <c r="K212" s="223" t="s">
        <v>475</v>
      </c>
      <c r="L212" s="225">
        <v>91223</v>
      </c>
      <c r="M212" s="226">
        <v>7767.45</v>
      </c>
      <c r="N212" s="227">
        <v>85473.02</v>
      </c>
      <c r="O212" s="223" t="s">
        <v>64</v>
      </c>
    </row>
    <row r="213" spans="3:15" ht="14.25">
      <c r="C213" s="228"/>
      <c r="D213" s="221" t="s">
        <v>231</v>
      </c>
      <c r="E213" s="221">
        <v>7284</v>
      </c>
      <c r="F213" s="222">
        <v>44164.338093321756</v>
      </c>
      <c r="G213" s="222">
        <v>44164.340407905089</v>
      </c>
      <c r="H213" s="223" t="s">
        <v>47</v>
      </c>
      <c r="I213" s="221">
        <v>41583</v>
      </c>
      <c r="J213" s="224">
        <v>16.827999114990234</v>
      </c>
      <c r="K213" s="223" t="s">
        <v>477</v>
      </c>
      <c r="L213" s="225">
        <v>137821</v>
      </c>
      <c r="M213" s="226">
        <v>7754.45</v>
      </c>
      <c r="N213" s="227">
        <v>130491.88</v>
      </c>
      <c r="O213" s="223" t="s">
        <v>476</v>
      </c>
    </row>
    <row r="214" spans="3:15" ht="14.25">
      <c r="C214" s="228"/>
      <c r="D214" s="221" t="s">
        <v>231</v>
      </c>
      <c r="E214" s="221">
        <v>8065</v>
      </c>
      <c r="F214" s="222">
        <v>44165.626419016204</v>
      </c>
      <c r="G214" s="222">
        <v>44165.628660104165</v>
      </c>
      <c r="H214" s="223" t="s">
        <v>49</v>
      </c>
      <c r="I214" s="221">
        <v>44084</v>
      </c>
      <c r="J214" s="224">
        <v>15.147000312805176</v>
      </c>
      <c r="K214" s="223" t="s">
        <v>477</v>
      </c>
      <c r="L214" s="225">
        <v>124054</v>
      </c>
      <c r="M214" s="226">
        <v>7754.45</v>
      </c>
      <c r="N214" s="227">
        <v>117456.66</v>
      </c>
      <c r="O214" s="223" t="s">
        <v>476</v>
      </c>
    </row>
    <row r="215" spans="3:15" ht="13.5">
      <c r="C215" s="229"/>
      <c r="D215" s="230"/>
      <c r="E215" s="230"/>
      <c r="F215" s="230"/>
      <c r="G215" s="230"/>
      <c r="H215" s="231"/>
      <c r="I215" s="230"/>
      <c r="J215" s="232">
        <v>389.92399835586548</v>
      </c>
      <c r="K215" s="231"/>
      <c r="L215" s="233">
        <v>3211780</v>
      </c>
      <c r="M215" s="234"/>
      <c r="N215" s="235">
        <v>3023893.22</v>
      </c>
      <c r="O215" s="231"/>
    </row>
    <row r="216" spans="3:15" ht="13.5">
      <c r="C216" s="236" t="s">
        <v>478</v>
      </c>
      <c r="D216" s="236"/>
      <c r="E216" s="236"/>
      <c r="F216" s="236"/>
      <c r="G216" s="236"/>
      <c r="H216" s="237"/>
      <c r="I216" s="236"/>
      <c r="J216" s="238">
        <v>389.92399835586548</v>
      </c>
      <c r="K216" s="237"/>
      <c r="L216" s="239">
        <v>3211780</v>
      </c>
      <c r="M216" s="240"/>
      <c r="N216" s="241">
        <v>3023893.22</v>
      </c>
      <c r="O216" s="237"/>
    </row>
    <row r="219" spans="3:15">
      <c r="C219" s="245" t="s">
        <v>465</v>
      </c>
      <c r="D219" s="245" t="s">
        <v>230</v>
      </c>
      <c r="E219" s="245" t="s">
        <v>466</v>
      </c>
      <c r="F219" s="245" t="s">
        <v>467</v>
      </c>
      <c r="G219" s="245" t="s">
        <v>468</v>
      </c>
      <c r="H219" s="246" t="s">
        <v>120</v>
      </c>
      <c r="I219" s="245" t="s">
        <v>54</v>
      </c>
      <c r="J219" s="245" t="s">
        <v>469</v>
      </c>
      <c r="K219" s="246" t="s">
        <v>228</v>
      </c>
      <c r="L219" s="245" t="s">
        <v>470</v>
      </c>
      <c r="M219" s="247" t="s">
        <v>471</v>
      </c>
      <c r="N219" s="246" t="s">
        <v>472</v>
      </c>
      <c r="O219" s="246" t="s">
        <v>473</v>
      </c>
    </row>
    <row r="220" spans="3:15" ht="14.25">
      <c r="C220" s="242" t="s">
        <v>474</v>
      </c>
      <c r="D220" s="221" t="s">
        <v>231</v>
      </c>
      <c r="E220" s="221">
        <v>9200</v>
      </c>
      <c r="F220" s="222">
        <v>44167.382181793982</v>
      </c>
      <c r="G220" s="222">
        <v>44167.384107719903</v>
      </c>
      <c r="H220" s="223" t="s">
        <v>48</v>
      </c>
      <c r="I220" s="221">
        <v>43838</v>
      </c>
      <c r="J220" s="224">
        <v>12.517000198364258</v>
      </c>
      <c r="K220" s="223" t="s">
        <v>477</v>
      </c>
      <c r="L220" s="225">
        <v>102514</v>
      </c>
      <c r="M220" s="226">
        <v>7754.45</v>
      </c>
      <c r="N220" s="227">
        <v>97062.45</v>
      </c>
      <c r="O220" s="223" t="s">
        <v>58</v>
      </c>
    </row>
    <row r="221" spans="3:15" ht="15">
      <c r="C221" s="243"/>
      <c r="D221" s="221" t="s">
        <v>231</v>
      </c>
      <c r="E221" s="221">
        <v>9843</v>
      </c>
      <c r="F221" s="222">
        <v>44168.38887638889</v>
      </c>
      <c r="G221" s="222">
        <v>44168.39215925926</v>
      </c>
      <c r="H221" s="223" t="s">
        <v>62</v>
      </c>
      <c r="I221" s="221">
        <v>69540</v>
      </c>
      <c r="J221" s="224">
        <v>30</v>
      </c>
      <c r="K221" s="223" t="s">
        <v>477</v>
      </c>
      <c r="L221" s="225">
        <v>245700</v>
      </c>
      <c r="M221" s="226">
        <v>7754.45</v>
      </c>
      <c r="N221" s="227">
        <v>232633.5</v>
      </c>
      <c r="O221" s="223" t="s">
        <v>58</v>
      </c>
    </row>
    <row r="222" spans="3:15" ht="15">
      <c r="C222" s="243"/>
      <c r="D222" s="221" t="s">
        <v>231</v>
      </c>
      <c r="E222" s="221">
        <v>9861</v>
      </c>
      <c r="F222" s="222">
        <v>44168.408228472217</v>
      </c>
      <c r="G222" s="222">
        <v>44168.411839733795</v>
      </c>
      <c r="H222" s="223" t="s">
        <v>61</v>
      </c>
      <c r="I222" s="221">
        <v>73408</v>
      </c>
      <c r="J222" s="224">
        <v>30</v>
      </c>
      <c r="K222" s="223" t="s">
        <v>477</v>
      </c>
      <c r="L222" s="225">
        <v>245700</v>
      </c>
      <c r="M222" s="226">
        <v>7754.45</v>
      </c>
      <c r="N222" s="227">
        <v>232633.5</v>
      </c>
      <c r="O222" s="223" t="s">
        <v>58</v>
      </c>
    </row>
    <row r="223" spans="3:15" ht="15">
      <c r="C223" s="243"/>
      <c r="D223" s="221" t="s">
        <v>231</v>
      </c>
      <c r="E223" s="221">
        <v>10696</v>
      </c>
      <c r="F223" s="222">
        <v>44169.635523495366</v>
      </c>
      <c r="G223" s="222">
        <v>44169.639083715279</v>
      </c>
      <c r="H223" s="223" t="s">
        <v>46</v>
      </c>
      <c r="I223" s="221">
        <v>35028</v>
      </c>
      <c r="J223" s="224">
        <v>30</v>
      </c>
      <c r="K223" s="223" t="s">
        <v>477</v>
      </c>
      <c r="L223" s="225">
        <v>245700</v>
      </c>
      <c r="M223" s="226">
        <v>7754.45</v>
      </c>
      <c r="N223" s="227">
        <v>232633.5</v>
      </c>
      <c r="O223" s="223" t="s">
        <v>58</v>
      </c>
    </row>
    <row r="224" spans="3:15" ht="15">
      <c r="C224" s="243"/>
      <c r="D224" s="221" t="s">
        <v>231</v>
      </c>
      <c r="E224" s="221">
        <v>10718</v>
      </c>
      <c r="F224" s="222">
        <v>44169.655849305556</v>
      </c>
      <c r="G224" s="222">
        <v>44169.657881134255</v>
      </c>
      <c r="H224" s="223" t="s">
        <v>47</v>
      </c>
      <c r="I224" s="221">
        <v>41956</v>
      </c>
      <c r="J224" s="224">
        <v>14.190999984741211</v>
      </c>
      <c r="K224" s="223" t="s">
        <v>477</v>
      </c>
      <c r="L224" s="225">
        <v>116224</v>
      </c>
      <c r="M224" s="226">
        <v>7754.45</v>
      </c>
      <c r="N224" s="227">
        <v>110043.41</v>
      </c>
      <c r="O224" s="223" t="s">
        <v>58</v>
      </c>
    </row>
    <row r="225" spans="3:15" ht="15">
      <c r="C225" s="243"/>
      <c r="D225" s="221" t="s">
        <v>231</v>
      </c>
      <c r="E225" s="221">
        <v>11356</v>
      </c>
      <c r="F225" s="222">
        <v>44170.55003677083</v>
      </c>
      <c r="G225" s="222">
        <v>44170.552049618054</v>
      </c>
      <c r="H225" s="223" t="s">
        <v>49</v>
      </c>
      <c r="I225" s="221">
        <v>44348</v>
      </c>
      <c r="J225" s="224">
        <v>12.076000213623047</v>
      </c>
      <c r="K225" s="223" t="s">
        <v>477</v>
      </c>
      <c r="L225" s="225">
        <v>98902</v>
      </c>
      <c r="M225" s="226">
        <v>7754.45</v>
      </c>
      <c r="N225" s="227">
        <v>93642.74</v>
      </c>
      <c r="O225" s="223" t="s">
        <v>58</v>
      </c>
    </row>
    <row r="226" spans="3:15" ht="15">
      <c r="C226" s="243"/>
      <c r="D226" s="221" t="s">
        <v>231</v>
      </c>
      <c r="E226" s="221">
        <v>11359</v>
      </c>
      <c r="F226" s="222">
        <v>44170.554215011573</v>
      </c>
      <c r="G226" s="222">
        <v>44170.555174733796</v>
      </c>
      <c r="H226" s="223" t="s">
        <v>63</v>
      </c>
      <c r="I226" s="221">
        <v>224036</v>
      </c>
      <c r="J226" s="224">
        <v>5.7329998016357422</v>
      </c>
      <c r="K226" s="223" t="s">
        <v>475</v>
      </c>
      <c r="L226" s="225">
        <v>47527</v>
      </c>
      <c r="M226" s="226">
        <v>7767.45</v>
      </c>
      <c r="N226" s="227">
        <v>44530.79</v>
      </c>
      <c r="O226" s="223" t="s">
        <v>64</v>
      </c>
    </row>
    <row r="227" spans="3:15" ht="15">
      <c r="C227" s="243"/>
      <c r="D227" s="221" t="s">
        <v>231</v>
      </c>
      <c r="E227" s="221">
        <v>11778</v>
      </c>
      <c r="F227" s="222">
        <v>44171.088449803239</v>
      </c>
      <c r="G227" s="222">
        <v>44171.090688460645</v>
      </c>
      <c r="H227" s="223" t="s">
        <v>63</v>
      </c>
      <c r="I227" s="221">
        <v>224092</v>
      </c>
      <c r="J227" s="224">
        <v>15.119999885559082</v>
      </c>
      <c r="K227" s="223" t="s">
        <v>475</v>
      </c>
      <c r="L227" s="225">
        <v>125345</v>
      </c>
      <c r="M227" s="226">
        <v>7767.45</v>
      </c>
      <c r="N227" s="227">
        <v>117443.84</v>
      </c>
      <c r="O227" s="223" t="s">
        <v>64</v>
      </c>
    </row>
    <row r="228" spans="3:15" ht="15">
      <c r="C228" s="243"/>
      <c r="D228" s="221" t="s">
        <v>231</v>
      </c>
      <c r="E228" s="221">
        <v>12415</v>
      </c>
      <c r="F228" s="222">
        <v>44172.353112268516</v>
      </c>
      <c r="G228" s="222">
        <v>44172.3573412037</v>
      </c>
      <c r="H228" s="223" t="s">
        <v>60</v>
      </c>
      <c r="I228" s="221">
        <v>73510</v>
      </c>
      <c r="J228" s="224">
        <v>25.466999053955078</v>
      </c>
      <c r="K228" s="223" t="s">
        <v>477</v>
      </c>
      <c r="L228" s="225">
        <v>208575</v>
      </c>
      <c r="M228" s="226">
        <v>7754.45</v>
      </c>
      <c r="N228" s="227">
        <v>197482.58</v>
      </c>
      <c r="O228" s="223" t="s">
        <v>58</v>
      </c>
    </row>
    <row r="229" spans="3:15" ht="15">
      <c r="C229" s="243"/>
      <c r="D229" s="221" t="s">
        <v>231</v>
      </c>
      <c r="E229" s="221">
        <v>12503</v>
      </c>
      <c r="F229" s="222">
        <v>44172.46848275463</v>
      </c>
      <c r="G229" s="222">
        <v>44172.470690162037</v>
      </c>
      <c r="H229" s="223" t="s">
        <v>48</v>
      </c>
      <c r="I229" s="221">
        <v>44126</v>
      </c>
      <c r="J229" s="224">
        <v>12.473999977111816</v>
      </c>
      <c r="K229" s="223" t="s">
        <v>477</v>
      </c>
      <c r="L229" s="225">
        <v>102162</v>
      </c>
      <c r="M229" s="226">
        <v>7754.45</v>
      </c>
      <c r="N229" s="227">
        <v>96729.01</v>
      </c>
      <c r="O229" s="223" t="s">
        <v>58</v>
      </c>
    </row>
    <row r="230" spans="3:15" ht="15">
      <c r="C230" s="243"/>
      <c r="D230" s="221" t="s">
        <v>231</v>
      </c>
      <c r="E230" s="221">
        <v>14175</v>
      </c>
      <c r="F230" s="222">
        <v>44175.564184340277</v>
      </c>
      <c r="G230" s="222">
        <v>44175.566133680557</v>
      </c>
      <c r="H230" s="223" t="s">
        <v>49</v>
      </c>
      <c r="I230" s="221">
        <v>44579</v>
      </c>
      <c r="J230" s="224">
        <v>10.289999961853027</v>
      </c>
      <c r="K230" s="223" t="s">
        <v>477</v>
      </c>
      <c r="L230" s="225">
        <v>84275</v>
      </c>
      <c r="M230" s="226">
        <v>7754.45</v>
      </c>
      <c r="N230" s="227">
        <v>79793.289999999994</v>
      </c>
      <c r="O230" s="223" t="s">
        <v>58</v>
      </c>
    </row>
    <row r="231" spans="3:15" ht="15">
      <c r="C231" s="243"/>
      <c r="D231" s="221" t="s">
        <v>231</v>
      </c>
      <c r="E231" s="221">
        <v>14177</v>
      </c>
      <c r="F231" s="222">
        <v>44175.568555289348</v>
      </c>
      <c r="G231" s="222">
        <v>44175.569494525458</v>
      </c>
      <c r="H231" s="223" t="s">
        <v>63</v>
      </c>
      <c r="I231" s="221">
        <v>0</v>
      </c>
      <c r="J231" s="224">
        <v>5.8439998626708984</v>
      </c>
      <c r="K231" s="223" t="s">
        <v>475</v>
      </c>
      <c r="L231" s="225">
        <v>48447</v>
      </c>
      <c r="M231" s="226">
        <v>7767.45</v>
      </c>
      <c r="N231" s="227">
        <v>45392.98</v>
      </c>
      <c r="O231" s="223" t="s">
        <v>64</v>
      </c>
    </row>
    <row r="232" spans="3:15" ht="15">
      <c r="C232" s="243"/>
      <c r="D232" s="221" t="s">
        <v>231</v>
      </c>
      <c r="E232" s="221">
        <v>14786</v>
      </c>
      <c r="F232" s="222">
        <v>44176.490261030092</v>
      </c>
      <c r="G232" s="222">
        <v>44176.493074456019</v>
      </c>
      <c r="H232" s="223" t="s">
        <v>63</v>
      </c>
      <c r="I232" s="221">
        <v>224376</v>
      </c>
      <c r="J232" s="224">
        <v>18.361000061035156</v>
      </c>
      <c r="K232" s="223" t="s">
        <v>475</v>
      </c>
      <c r="L232" s="225">
        <v>152213</v>
      </c>
      <c r="M232" s="226">
        <v>7767.45</v>
      </c>
      <c r="N232" s="227">
        <v>142618.16</v>
      </c>
      <c r="O232" s="223" t="s">
        <v>64</v>
      </c>
    </row>
    <row r="233" spans="3:15" ht="15">
      <c r="C233" s="243"/>
      <c r="D233" s="221" t="s">
        <v>231</v>
      </c>
      <c r="E233" s="221">
        <v>16591</v>
      </c>
      <c r="F233" s="222">
        <v>44179.339658645833</v>
      </c>
      <c r="G233" s="222">
        <v>44179.341857372681</v>
      </c>
      <c r="H233" s="223" t="s">
        <v>47</v>
      </c>
      <c r="I233" s="221">
        <v>42326</v>
      </c>
      <c r="J233" s="224">
        <v>15.251999855041504</v>
      </c>
      <c r="K233" s="223" t="s">
        <v>477</v>
      </c>
      <c r="L233" s="225">
        <v>124914</v>
      </c>
      <c r="M233" s="226">
        <v>7754.45</v>
      </c>
      <c r="N233" s="227">
        <v>118270.88</v>
      </c>
      <c r="O233" s="223" t="s">
        <v>58</v>
      </c>
    </row>
    <row r="234" spans="3:15" ht="15">
      <c r="C234" s="243"/>
      <c r="D234" s="221" t="s">
        <v>231</v>
      </c>
      <c r="E234" s="221">
        <v>16701</v>
      </c>
      <c r="F234" s="222">
        <v>44179.490478969907</v>
      </c>
      <c r="G234" s="222">
        <v>44179.492844479166</v>
      </c>
      <c r="H234" s="223" t="s">
        <v>48</v>
      </c>
      <c r="I234" s="221">
        <v>44482</v>
      </c>
      <c r="J234" s="224">
        <v>14.664999961853027</v>
      </c>
      <c r="K234" s="223" t="s">
        <v>477</v>
      </c>
      <c r="L234" s="225">
        <v>120106</v>
      </c>
      <c r="M234" s="226">
        <v>7754.45</v>
      </c>
      <c r="N234" s="227">
        <v>113719.02</v>
      </c>
      <c r="O234" s="223" t="s">
        <v>58</v>
      </c>
    </row>
    <row r="235" spans="3:15" ht="15">
      <c r="C235" s="243"/>
      <c r="D235" s="221" t="s">
        <v>231</v>
      </c>
      <c r="E235" s="221">
        <v>16856</v>
      </c>
      <c r="F235" s="222">
        <v>44179.679774849537</v>
      </c>
      <c r="G235" s="222">
        <v>44179.682774733796</v>
      </c>
      <c r="H235" s="223" t="s">
        <v>63</v>
      </c>
      <c r="I235" s="221">
        <v>224613</v>
      </c>
      <c r="J235" s="224">
        <v>15.189000129699707</v>
      </c>
      <c r="K235" s="223" t="s">
        <v>475</v>
      </c>
      <c r="L235" s="225">
        <v>125917</v>
      </c>
      <c r="M235" s="226">
        <v>7767.45</v>
      </c>
      <c r="N235" s="227">
        <v>117979.8</v>
      </c>
      <c r="O235" s="223" t="s">
        <v>64</v>
      </c>
    </row>
    <row r="236" spans="3:15" ht="15">
      <c r="C236" s="243"/>
      <c r="D236" s="221" t="s">
        <v>231</v>
      </c>
      <c r="E236" s="221">
        <v>17429</v>
      </c>
      <c r="F236" s="222">
        <v>44180.621677662035</v>
      </c>
      <c r="G236" s="222">
        <v>44180.622954745369</v>
      </c>
      <c r="H236" s="223" t="s">
        <v>63</v>
      </c>
      <c r="I236" s="221">
        <v>0</v>
      </c>
      <c r="J236" s="224">
        <v>11.001999855041504</v>
      </c>
      <c r="K236" s="223" t="s">
        <v>475</v>
      </c>
      <c r="L236" s="225">
        <v>91207</v>
      </c>
      <c r="M236" s="226">
        <v>7767.45</v>
      </c>
      <c r="N236" s="227">
        <v>85457.48</v>
      </c>
      <c r="O236" s="223" t="s">
        <v>64</v>
      </c>
    </row>
    <row r="237" spans="3:15" ht="15">
      <c r="C237" s="243"/>
      <c r="D237" s="221" t="s">
        <v>231</v>
      </c>
      <c r="E237" s="221">
        <v>18352</v>
      </c>
      <c r="F237" s="222">
        <v>44181.927253090274</v>
      </c>
      <c r="G237" s="222">
        <v>44181.929371030092</v>
      </c>
      <c r="H237" s="223" t="s">
        <v>49</v>
      </c>
      <c r="I237" s="221">
        <v>44870</v>
      </c>
      <c r="J237" s="224">
        <v>14.538999557495117</v>
      </c>
      <c r="K237" s="223" t="s">
        <v>477</v>
      </c>
      <c r="L237" s="225">
        <v>119074</v>
      </c>
      <c r="M237" s="226">
        <v>7754.45</v>
      </c>
      <c r="N237" s="227">
        <v>112741.95</v>
      </c>
      <c r="O237" s="223" t="s">
        <v>476</v>
      </c>
    </row>
    <row r="238" spans="3:15" ht="15">
      <c r="C238" s="243"/>
      <c r="D238" s="221" t="s">
        <v>231</v>
      </c>
      <c r="E238" s="221">
        <v>18523</v>
      </c>
      <c r="F238" s="222">
        <v>44182.36241238426</v>
      </c>
      <c r="G238" s="222">
        <v>44182.365314467592</v>
      </c>
      <c r="H238" s="223" t="s">
        <v>62</v>
      </c>
      <c r="I238" s="221">
        <v>69777</v>
      </c>
      <c r="J238" s="224">
        <v>30</v>
      </c>
      <c r="K238" s="223" t="s">
        <v>477</v>
      </c>
      <c r="L238" s="225">
        <v>245700</v>
      </c>
      <c r="M238" s="226">
        <v>7754.45</v>
      </c>
      <c r="N238" s="227">
        <v>232633.5</v>
      </c>
      <c r="O238" s="223" t="s">
        <v>476</v>
      </c>
    </row>
    <row r="239" spans="3:15" ht="15">
      <c r="C239" s="243"/>
      <c r="D239" s="221" t="s">
        <v>231</v>
      </c>
      <c r="E239" s="221">
        <v>18589</v>
      </c>
      <c r="F239" s="222">
        <v>44182.456811770833</v>
      </c>
      <c r="G239" s="222">
        <v>44182.459566863421</v>
      </c>
      <c r="H239" s="223" t="s">
        <v>46</v>
      </c>
      <c r="I239" s="221">
        <v>35299</v>
      </c>
      <c r="J239" s="224">
        <v>24.680999755859375</v>
      </c>
      <c r="K239" s="223" t="s">
        <v>477</v>
      </c>
      <c r="L239" s="225">
        <v>202137</v>
      </c>
      <c r="M239" s="226">
        <v>7754.45</v>
      </c>
      <c r="N239" s="227">
        <v>191387.58</v>
      </c>
      <c r="O239" s="223" t="s">
        <v>476</v>
      </c>
    </row>
    <row r="240" spans="3:15" ht="15">
      <c r="C240" s="243"/>
      <c r="D240" s="221" t="s">
        <v>231</v>
      </c>
      <c r="E240" s="221">
        <v>19185</v>
      </c>
      <c r="F240" s="222">
        <v>44183.330425925924</v>
      </c>
      <c r="G240" s="222">
        <v>44183.333112997687</v>
      </c>
      <c r="H240" s="223" t="s">
        <v>63</v>
      </c>
      <c r="I240" s="221">
        <v>224919</v>
      </c>
      <c r="J240" s="224">
        <v>19.135000228881836</v>
      </c>
      <c r="K240" s="223" t="s">
        <v>479</v>
      </c>
      <c r="L240" s="225">
        <v>160543</v>
      </c>
      <c r="M240" s="226">
        <v>7867.45</v>
      </c>
      <c r="N240" s="227">
        <v>150543.66</v>
      </c>
      <c r="O240" s="223" t="s">
        <v>480</v>
      </c>
    </row>
    <row r="241" spans="3:15" ht="15">
      <c r="C241" s="243"/>
      <c r="D241" s="221" t="s">
        <v>231</v>
      </c>
      <c r="E241" s="221">
        <v>19530</v>
      </c>
      <c r="F241" s="222">
        <v>44183.743093749996</v>
      </c>
      <c r="G241" s="222">
        <v>44183.745085532406</v>
      </c>
      <c r="H241" s="223" t="s">
        <v>48</v>
      </c>
      <c r="I241" s="221">
        <v>44774</v>
      </c>
      <c r="J241" s="224">
        <v>12.961000442504883</v>
      </c>
      <c r="K241" s="223" t="s">
        <v>477</v>
      </c>
      <c r="L241" s="225">
        <v>106151</v>
      </c>
      <c r="M241" s="226">
        <v>7754.45</v>
      </c>
      <c r="N241" s="227">
        <v>100505.43</v>
      </c>
      <c r="O241" s="223" t="s">
        <v>476</v>
      </c>
    </row>
    <row r="242" spans="3:15" ht="15">
      <c r="C242" s="243"/>
      <c r="D242" s="221" t="s">
        <v>231</v>
      </c>
      <c r="E242" s="221">
        <v>20379</v>
      </c>
      <c r="F242" s="222">
        <v>44184.918215706013</v>
      </c>
      <c r="G242" s="222">
        <v>44184.919651932869</v>
      </c>
      <c r="H242" s="223" t="s">
        <v>63</v>
      </c>
      <c r="I242" s="221">
        <v>225090</v>
      </c>
      <c r="J242" s="224">
        <v>10.600000381469727</v>
      </c>
      <c r="K242" s="223" t="s">
        <v>479</v>
      </c>
      <c r="L242" s="225">
        <v>88934</v>
      </c>
      <c r="M242" s="226">
        <v>7867.45</v>
      </c>
      <c r="N242" s="227">
        <v>83394.98</v>
      </c>
      <c r="O242" s="223" t="s">
        <v>480</v>
      </c>
    </row>
    <row r="243" spans="3:15" ht="15">
      <c r="C243" s="243"/>
      <c r="D243" s="221" t="s">
        <v>231</v>
      </c>
      <c r="E243" s="221">
        <v>21088</v>
      </c>
      <c r="F243" s="222">
        <v>44186.404726701388</v>
      </c>
      <c r="G243" s="222">
        <v>44186.407165474535</v>
      </c>
      <c r="H243" s="223" t="s">
        <v>47</v>
      </c>
      <c r="I243" s="221">
        <v>42684</v>
      </c>
      <c r="J243" s="224">
        <v>16.216999053955078</v>
      </c>
      <c r="K243" s="223" t="s">
        <v>477</v>
      </c>
      <c r="L243" s="225">
        <v>132817</v>
      </c>
      <c r="M243" s="226">
        <v>7754.45</v>
      </c>
      <c r="N243" s="227">
        <v>125753.91</v>
      </c>
      <c r="O243" s="223" t="s">
        <v>476</v>
      </c>
    </row>
    <row r="244" spans="3:15" ht="15">
      <c r="C244" s="243"/>
      <c r="D244" s="221" t="s">
        <v>231</v>
      </c>
      <c r="E244" s="221">
        <v>21557</v>
      </c>
      <c r="F244" s="222">
        <v>44186.919060995366</v>
      </c>
      <c r="G244" s="222">
        <v>44186.921241782409</v>
      </c>
      <c r="H244" s="223" t="s">
        <v>63</v>
      </c>
      <c r="I244" s="221">
        <v>225324</v>
      </c>
      <c r="J244" s="224">
        <v>12.920999526977539</v>
      </c>
      <c r="K244" s="223" t="s">
        <v>479</v>
      </c>
      <c r="L244" s="225">
        <v>108407</v>
      </c>
      <c r="M244" s="226">
        <v>7867.45</v>
      </c>
      <c r="N244" s="227">
        <v>101655.32</v>
      </c>
      <c r="O244" s="223" t="s">
        <v>480</v>
      </c>
    </row>
    <row r="245" spans="3:15" ht="15">
      <c r="C245" s="243"/>
      <c r="D245" s="221" t="s">
        <v>231</v>
      </c>
      <c r="E245" s="221">
        <v>21576</v>
      </c>
      <c r="F245" s="222">
        <v>44186.960542627312</v>
      </c>
      <c r="G245" s="222">
        <v>44186.962892858792</v>
      </c>
      <c r="H245" s="223" t="s">
        <v>49</v>
      </c>
      <c r="I245" s="221">
        <v>45178</v>
      </c>
      <c r="J245" s="224">
        <v>15.22700023651123</v>
      </c>
      <c r="K245" s="223" t="s">
        <v>477</v>
      </c>
      <c r="L245" s="225">
        <v>124709</v>
      </c>
      <c r="M245" s="226">
        <v>7754.45</v>
      </c>
      <c r="N245" s="227">
        <v>118077.02</v>
      </c>
      <c r="O245" s="223" t="s">
        <v>476</v>
      </c>
    </row>
    <row r="246" spans="3:15" ht="15">
      <c r="C246" s="243"/>
      <c r="D246" s="221" t="s">
        <v>231</v>
      </c>
      <c r="E246" s="221">
        <v>23059</v>
      </c>
      <c r="F246" s="222">
        <v>44189.019663043982</v>
      </c>
      <c r="G246" s="222">
        <v>44189.021574733793</v>
      </c>
      <c r="H246" s="223" t="s">
        <v>63</v>
      </c>
      <c r="I246" s="221">
        <v>225578</v>
      </c>
      <c r="J246" s="224">
        <v>15.244000434875488</v>
      </c>
      <c r="K246" s="223" t="s">
        <v>479</v>
      </c>
      <c r="L246" s="225">
        <v>127897</v>
      </c>
      <c r="M246" s="226">
        <v>7867.45</v>
      </c>
      <c r="N246" s="227">
        <v>119931.41</v>
      </c>
      <c r="O246" s="223" t="s">
        <v>480</v>
      </c>
    </row>
    <row r="247" spans="3:15" ht="15">
      <c r="C247" s="243"/>
      <c r="D247" s="221" t="s">
        <v>231</v>
      </c>
      <c r="E247" s="221">
        <v>23349</v>
      </c>
      <c r="F247" s="222">
        <v>44189.507479432868</v>
      </c>
      <c r="G247" s="222">
        <v>44189.509884525462</v>
      </c>
      <c r="H247" s="223" t="s">
        <v>48</v>
      </c>
      <c r="I247" s="221">
        <v>45149</v>
      </c>
      <c r="J247" s="224">
        <v>16.951000213623047</v>
      </c>
      <c r="K247" s="223" t="s">
        <v>477</v>
      </c>
      <c r="L247" s="225">
        <v>138829</v>
      </c>
      <c r="M247" s="226">
        <v>7754.45</v>
      </c>
      <c r="N247" s="227">
        <v>131445.69</v>
      </c>
      <c r="O247" s="223" t="s">
        <v>476</v>
      </c>
    </row>
    <row r="248" spans="3:15" ht="15">
      <c r="C248" s="243"/>
      <c r="D248" s="221" t="s">
        <v>231</v>
      </c>
      <c r="E248" s="221">
        <v>24307</v>
      </c>
      <c r="F248" s="222">
        <v>44191.412344826385</v>
      </c>
      <c r="G248" s="222">
        <v>44191.413389270834</v>
      </c>
      <c r="H248" s="223" t="s">
        <v>63</v>
      </c>
      <c r="I248" s="221">
        <v>225694</v>
      </c>
      <c r="J248" s="224">
        <v>6</v>
      </c>
      <c r="K248" s="223" t="s">
        <v>479</v>
      </c>
      <c r="L248" s="225">
        <v>50340</v>
      </c>
      <c r="M248" s="226">
        <v>7867.45</v>
      </c>
      <c r="N248" s="227">
        <v>47204.7</v>
      </c>
      <c r="O248" s="223" t="s">
        <v>480</v>
      </c>
    </row>
    <row r="249" spans="3:15" ht="15">
      <c r="C249" s="243"/>
      <c r="D249" s="221" t="s">
        <v>231</v>
      </c>
      <c r="E249" s="221">
        <v>24311</v>
      </c>
      <c r="F249" s="222">
        <v>44191.414061030089</v>
      </c>
      <c r="G249" s="222">
        <v>44191.415802627314</v>
      </c>
      <c r="H249" s="223" t="s">
        <v>49</v>
      </c>
      <c r="I249" s="221">
        <v>45412</v>
      </c>
      <c r="J249" s="224">
        <v>10.256999969482422</v>
      </c>
      <c r="K249" s="223" t="s">
        <v>477</v>
      </c>
      <c r="L249" s="225">
        <v>84005</v>
      </c>
      <c r="M249" s="226">
        <v>7754.45</v>
      </c>
      <c r="N249" s="227">
        <v>79537.399999999994</v>
      </c>
      <c r="O249" s="223" t="s">
        <v>476</v>
      </c>
    </row>
    <row r="250" spans="3:15" ht="15">
      <c r="C250" s="243"/>
      <c r="D250" s="221" t="s">
        <v>231</v>
      </c>
      <c r="E250" s="221">
        <v>25004</v>
      </c>
      <c r="F250" s="222">
        <v>44192.629038888888</v>
      </c>
      <c r="G250" s="222">
        <v>44192.631259571761</v>
      </c>
      <c r="H250" s="223" t="s">
        <v>47</v>
      </c>
      <c r="I250" s="221">
        <v>42958</v>
      </c>
      <c r="J250" s="224">
        <v>13.378999710083008</v>
      </c>
      <c r="K250" s="223" t="s">
        <v>477</v>
      </c>
      <c r="L250" s="225">
        <v>109574</v>
      </c>
      <c r="M250" s="226">
        <v>7754.45</v>
      </c>
      <c r="N250" s="227">
        <v>103746.79</v>
      </c>
      <c r="O250" s="223" t="s">
        <v>476</v>
      </c>
    </row>
    <row r="251" spans="3:15" ht="15">
      <c r="C251" s="243"/>
      <c r="D251" s="221" t="s">
        <v>231</v>
      </c>
      <c r="E251" s="221">
        <v>25387</v>
      </c>
      <c r="F251" s="222">
        <v>44193.448769872681</v>
      </c>
      <c r="G251" s="222">
        <v>44193.450211423609</v>
      </c>
      <c r="H251" s="223" t="s">
        <v>49</v>
      </c>
      <c r="I251" s="221">
        <v>45435</v>
      </c>
      <c r="J251" s="224">
        <v>6.0069999694824219</v>
      </c>
      <c r="K251" s="223" t="s">
        <v>477</v>
      </c>
      <c r="L251" s="225">
        <v>49197</v>
      </c>
      <c r="M251" s="226">
        <v>7754.45</v>
      </c>
      <c r="N251" s="227">
        <v>46580.98</v>
      </c>
      <c r="O251" s="223" t="s">
        <v>476</v>
      </c>
    </row>
    <row r="252" spans="3:15" ht="15">
      <c r="C252" s="243"/>
      <c r="D252" s="221" t="s">
        <v>231</v>
      </c>
      <c r="E252" s="221">
        <v>25698</v>
      </c>
      <c r="F252" s="222">
        <v>44193.781314780092</v>
      </c>
      <c r="G252" s="222">
        <v>44193.782993055553</v>
      </c>
      <c r="H252" s="223" t="s">
        <v>47</v>
      </c>
      <c r="I252" s="221">
        <v>43604</v>
      </c>
      <c r="J252" s="224">
        <v>16.673000335693359</v>
      </c>
      <c r="K252" s="223" t="s">
        <v>477</v>
      </c>
      <c r="L252" s="225">
        <v>136552</v>
      </c>
      <c r="M252" s="226">
        <v>7754.45</v>
      </c>
      <c r="N252" s="227">
        <v>129289.95</v>
      </c>
      <c r="O252" s="223" t="s">
        <v>476</v>
      </c>
    </row>
    <row r="253" spans="3:15" ht="15">
      <c r="C253" s="244"/>
      <c r="D253" s="230"/>
      <c r="E253" s="230"/>
      <c r="F253" s="230"/>
      <c r="G253" s="230"/>
      <c r="H253" s="231"/>
      <c r="I253" s="230"/>
      <c r="J253" s="232">
        <v>518.97299861907959</v>
      </c>
      <c r="K253" s="231"/>
      <c r="L253" s="233">
        <v>4270294</v>
      </c>
      <c r="M253" s="234"/>
      <c r="N253" s="235">
        <v>4032497.2</v>
      </c>
      <c r="O253" s="231"/>
    </row>
    <row r="254" spans="3:15" ht="13.5">
      <c r="C254" s="236" t="s">
        <v>478</v>
      </c>
      <c r="D254" s="236"/>
      <c r="E254" s="236"/>
      <c r="F254" s="236"/>
      <c r="G254" s="236"/>
      <c r="H254" s="237"/>
      <c r="I254" s="236"/>
      <c r="J254" s="238">
        <v>518.97299861907959</v>
      </c>
      <c r="K254" s="237"/>
      <c r="L254" s="239">
        <v>4270294</v>
      </c>
      <c r="M254" s="240"/>
      <c r="N254" s="241">
        <v>4032497.2</v>
      </c>
      <c r="O254" s="237"/>
    </row>
  </sheetData>
  <mergeCells count="788">
    <mergeCell ref="G187:H187"/>
    <mergeCell ref="I187:J187"/>
    <mergeCell ref="P187:R187"/>
    <mergeCell ref="S187:T187"/>
    <mergeCell ref="G188:H188"/>
    <mergeCell ref="I188:J188"/>
    <mergeCell ref="P188:R188"/>
    <mergeCell ref="S188:T188"/>
    <mergeCell ref="C189:C191"/>
    <mergeCell ref="D189:E191"/>
    <mergeCell ref="G189:H189"/>
    <mergeCell ref="I189:J189"/>
    <mergeCell ref="P189:R189"/>
    <mergeCell ref="S189:T189"/>
    <mergeCell ref="G190:H190"/>
    <mergeCell ref="I190:J190"/>
    <mergeCell ref="P190:R190"/>
    <mergeCell ref="S190:T190"/>
    <mergeCell ref="G191:H191"/>
    <mergeCell ref="I191:J191"/>
    <mergeCell ref="P191:R191"/>
    <mergeCell ref="S191:T191"/>
    <mergeCell ref="G184:H184"/>
    <mergeCell ref="I184:J184"/>
    <mergeCell ref="P184:R184"/>
    <mergeCell ref="S184:T184"/>
    <mergeCell ref="G185:H185"/>
    <mergeCell ref="I185:J185"/>
    <mergeCell ref="P185:R185"/>
    <mergeCell ref="S185:T185"/>
    <mergeCell ref="G186:H186"/>
    <mergeCell ref="I186:J186"/>
    <mergeCell ref="P186:R186"/>
    <mergeCell ref="S186:T186"/>
    <mergeCell ref="G181:H181"/>
    <mergeCell ref="I181:J181"/>
    <mergeCell ref="P181:R181"/>
    <mergeCell ref="S181:T181"/>
    <mergeCell ref="G182:H182"/>
    <mergeCell ref="I182:J182"/>
    <mergeCell ref="P182:R182"/>
    <mergeCell ref="S182:T182"/>
    <mergeCell ref="G183:H183"/>
    <mergeCell ref="I183:J183"/>
    <mergeCell ref="P183:R183"/>
    <mergeCell ref="S183:T183"/>
    <mergeCell ref="G178:H178"/>
    <mergeCell ref="I178:J178"/>
    <mergeCell ref="P178:R178"/>
    <mergeCell ref="S178:T178"/>
    <mergeCell ref="G179:H179"/>
    <mergeCell ref="I179:J179"/>
    <mergeCell ref="P179:R179"/>
    <mergeCell ref="S179:T179"/>
    <mergeCell ref="G180:H180"/>
    <mergeCell ref="I180:J180"/>
    <mergeCell ref="P180:R180"/>
    <mergeCell ref="S180:T180"/>
    <mergeCell ref="G175:H175"/>
    <mergeCell ref="I175:J175"/>
    <mergeCell ref="P175:R175"/>
    <mergeCell ref="S175:T175"/>
    <mergeCell ref="G176:H176"/>
    <mergeCell ref="I176:J176"/>
    <mergeCell ref="P176:R176"/>
    <mergeCell ref="S176:T176"/>
    <mergeCell ref="G177:H177"/>
    <mergeCell ref="I177:J177"/>
    <mergeCell ref="P177:R177"/>
    <mergeCell ref="S177:T177"/>
    <mergeCell ref="G172:H172"/>
    <mergeCell ref="I172:J172"/>
    <mergeCell ref="P172:R172"/>
    <mergeCell ref="S172:T172"/>
    <mergeCell ref="G173:H173"/>
    <mergeCell ref="I173:J173"/>
    <mergeCell ref="P173:R173"/>
    <mergeCell ref="S173:T173"/>
    <mergeCell ref="G174:H174"/>
    <mergeCell ref="I174:J174"/>
    <mergeCell ref="P174:R174"/>
    <mergeCell ref="S174:T174"/>
    <mergeCell ref="G169:H169"/>
    <mergeCell ref="I169:J169"/>
    <mergeCell ref="P169:R169"/>
    <mergeCell ref="S169:T169"/>
    <mergeCell ref="G170:H170"/>
    <mergeCell ref="I170:J170"/>
    <mergeCell ref="P170:R170"/>
    <mergeCell ref="S170:T170"/>
    <mergeCell ref="G171:H171"/>
    <mergeCell ref="I171:J171"/>
    <mergeCell ref="P171:R171"/>
    <mergeCell ref="S171:T171"/>
    <mergeCell ref="G166:H166"/>
    <mergeCell ref="I166:J166"/>
    <mergeCell ref="P166:R166"/>
    <mergeCell ref="S166:T166"/>
    <mergeCell ref="G167:H167"/>
    <mergeCell ref="I167:J167"/>
    <mergeCell ref="P167:R167"/>
    <mergeCell ref="S167:T167"/>
    <mergeCell ref="G168:H168"/>
    <mergeCell ref="I168:J168"/>
    <mergeCell ref="P168:R168"/>
    <mergeCell ref="S168:T168"/>
    <mergeCell ref="P163:R163"/>
    <mergeCell ref="S163:T163"/>
    <mergeCell ref="G164:H164"/>
    <mergeCell ref="I164:J164"/>
    <mergeCell ref="P164:R164"/>
    <mergeCell ref="S164:T164"/>
    <mergeCell ref="G165:H165"/>
    <mergeCell ref="I165:J165"/>
    <mergeCell ref="P165:R165"/>
    <mergeCell ref="S165:T165"/>
    <mergeCell ref="G158:H158"/>
    <mergeCell ref="I158:J158"/>
    <mergeCell ref="P158:R158"/>
    <mergeCell ref="S158:T158"/>
    <mergeCell ref="C159:C188"/>
    <mergeCell ref="D159:E188"/>
    <mergeCell ref="G159:H159"/>
    <mergeCell ref="I159:J159"/>
    <mergeCell ref="P159:R159"/>
    <mergeCell ref="S159:T159"/>
    <mergeCell ref="G160:H160"/>
    <mergeCell ref="I160:J160"/>
    <mergeCell ref="P160:R160"/>
    <mergeCell ref="S160:T160"/>
    <mergeCell ref="G161:H161"/>
    <mergeCell ref="I161:J161"/>
    <mergeCell ref="P161:R161"/>
    <mergeCell ref="S161:T161"/>
    <mergeCell ref="G162:H162"/>
    <mergeCell ref="I162:J162"/>
    <mergeCell ref="P162:R162"/>
    <mergeCell ref="S162:T162"/>
    <mergeCell ref="G163:H163"/>
    <mergeCell ref="I163:J163"/>
    <mergeCell ref="G155:H155"/>
    <mergeCell ref="I155:J155"/>
    <mergeCell ref="P155:R155"/>
    <mergeCell ref="S155:T155"/>
    <mergeCell ref="G156:H156"/>
    <mergeCell ref="I156:J156"/>
    <mergeCell ref="P156:R156"/>
    <mergeCell ref="S156:T156"/>
    <mergeCell ref="G157:H157"/>
    <mergeCell ref="I157:J157"/>
    <mergeCell ref="P157:R157"/>
    <mergeCell ref="S157:T157"/>
    <mergeCell ref="G152:H152"/>
    <mergeCell ref="I152:J152"/>
    <mergeCell ref="P152:R152"/>
    <mergeCell ref="S152:T152"/>
    <mergeCell ref="G153:H153"/>
    <mergeCell ref="I153:J153"/>
    <mergeCell ref="P153:R153"/>
    <mergeCell ref="S153:T153"/>
    <mergeCell ref="G154:H154"/>
    <mergeCell ref="I154:J154"/>
    <mergeCell ref="P154:R154"/>
    <mergeCell ref="S154:T154"/>
    <mergeCell ref="G149:H149"/>
    <mergeCell ref="I149:J149"/>
    <mergeCell ref="P149:R149"/>
    <mergeCell ref="S149:T149"/>
    <mergeCell ref="G150:H150"/>
    <mergeCell ref="I150:J150"/>
    <mergeCell ref="P150:R150"/>
    <mergeCell ref="S150:T150"/>
    <mergeCell ref="G151:H151"/>
    <mergeCell ref="I151:J151"/>
    <mergeCell ref="P151:R151"/>
    <mergeCell ref="S151:T151"/>
    <mergeCell ref="G146:H146"/>
    <mergeCell ref="I146:J146"/>
    <mergeCell ref="P146:R146"/>
    <mergeCell ref="S146:T146"/>
    <mergeCell ref="G147:H147"/>
    <mergeCell ref="I147:J147"/>
    <mergeCell ref="P147:R147"/>
    <mergeCell ref="S147:T147"/>
    <mergeCell ref="G148:H148"/>
    <mergeCell ref="I148:J148"/>
    <mergeCell ref="P148:R148"/>
    <mergeCell ref="S148:T148"/>
    <mergeCell ref="G143:H143"/>
    <mergeCell ref="I143:J143"/>
    <mergeCell ref="P143:R143"/>
    <mergeCell ref="S143:T143"/>
    <mergeCell ref="G144:H144"/>
    <mergeCell ref="I144:J144"/>
    <mergeCell ref="P144:R144"/>
    <mergeCell ref="S144:T144"/>
    <mergeCell ref="G145:H145"/>
    <mergeCell ref="I145:J145"/>
    <mergeCell ref="P145:R145"/>
    <mergeCell ref="S145:T145"/>
    <mergeCell ref="G140:H140"/>
    <mergeCell ref="I140:J140"/>
    <mergeCell ref="P140:R140"/>
    <mergeCell ref="S140:T140"/>
    <mergeCell ref="G141:H141"/>
    <mergeCell ref="I141:J141"/>
    <mergeCell ref="P141:R141"/>
    <mergeCell ref="S141:T141"/>
    <mergeCell ref="G142:H142"/>
    <mergeCell ref="I142:J142"/>
    <mergeCell ref="P142:R142"/>
    <mergeCell ref="S142:T142"/>
    <mergeCell ref="P137:R137"/>
    <mergeCell ref="S137:T137"/>
    <mergeCell ref="G138:H138"/>
    <mergeCell ref="I138:J138"/>
    <mergeCell ref="P138:R138"/>
    <mergeCell ref="S138:T138"/>
    <mergeCell ref="G139:H139"/>
    <mergeCell ref="I139:J139"/>
    <mergeCell ref="P139:R139"/>
    <mergeCell ref="S139:T139"/>
    <mergeCell ref="C132:C158"/>
    <mergeCell ref="D132:E158"/>
    <mergeCell ref="G132:H132"/>
    <mergeCell ref="I132:J132"/>
    <mergeCell ref="P132:R132"/>
    <mergeCell ref="S132:T132"/>
    <mergeCell ref="G133:H133"/>
    <mergeCell ref="I133:J133"/>
    <mergeCell ref="P133:R133"/>
    <mergeCell ref="S133:T133"/>
    <mergeCell ref="G134:H134"/>
    <mergeCell ref="I134:J134"/>
    <mergeCell ref="P134:R134"/>
    <mergeCell ref="S134:T134"/>
    <mergeCell ref="G135:H135"/>
    <mergeCell ref="I135:J135"/>
    <mergeCell ref="P135:R135"/>
    <mergeCell ref="S135:T135"/>
    <mergeCell ref="G136:H136"/>
    <mergeCell ref="I136:J136"/>
    <mergeCell ref="P136:R136"/>
    <mergeCell ref="S136:T136"/>
    <mergeCell ref="G137:H137"/>
    <mergeCell ref="I137:J137"/>
    <mergeCell ref="G129:H129"/>
    <mergeCell ref="I129:J129"/>
    <mergeCell ref="P129:R129"/>
    <mergeCell ref="S129:T129"/>
    <mergeCell ref="G130:H130"/>
    <mergeCell ref="I130:J130"/>
    <mergeCell ref="P130:R130"/>
    <mergeCell ref="S130:T130"/>
    <mergeCell ref="G131:H131"/>
    <mergeCell ref="I131:J131"/>
    <mergeCell ref="P131:R131"/>
    <mergeCell ref="S131:T131"/>
    <mergeCell ref="G126:H126"/>
    <mergeCell ref="I126:J126"/>
    <mergeCell ref="P126:R126"/>
    <mergeCell ref="S126:T126"/>
    <mergeCell ref="G127:H127"/>
    <mergeCell ref="I127:J127"/>
    <mergeCell ref="P127:R127"/>
    <mergeCell ref="S127:T127"/>
    <mergeCell ref="G128:H128"/>
    <mergeCell ref="I128:J128"/>
    <mergeCell ref="P128:R128"/>
    <mergeCell ref="S128:T128"/>
    <mergeCell ref="G123:H123"/>
    <mergeCell ref="I123:J123"/>
    <mergeCell ref="P123:R123"/>
    <mergeCell ref="S123:T123"/>
    <mergeCell ref="G124:H124"/>
    <mergeCell ref="I124:J124"/>
    <mergeCell ref="P124:R124"/>
    <mergeCell ref="S124:T124"/>
    <mergeCell ref="G125:H125"/>
    <mergeCell ref="I125:J125"/>
    <mergeCell ref="P125:R125"/>
    <mergeCell ref="S125:T125"/>
    <mergeCell ref="G120:H120"/>
    <mergeCell ref="I120:J120"/>
    <mergeCell ref="P120:R120"/>
    <mergeCell ref="S120:T120"/>
    <mergeCell ref="G121:H121"/>
    <mergeCell ref="I121:J121"/>
    <mergeCell ref="P121:R121"/>
    <mergeCell ref="S121:T121"/>
    <mergeCell ref="G122:H122"/>
    <mergeCell ref="I122:J122"/>
    <mergeCell ref="P122:R122"/>
    <mergeCell ref="S122:T122"/>
    <mergeCell ref="G117:H117"/>
    <mergeCell ref="I117:J117"/>
    <mergeCell ref="P117:R117"/>
    <mergeCell ref="S117:T117"/>
    <mergeCell ref="G118:H118"/>
    <mergeCell ref="I118:J118"/>
    <mergeCell ref="P118:R118"/>
    <mergeCell ref="S118:T118"/>
    <mergeCell ref="G119:H119"/>
    <mergeCell ref="I119:J119"/>
    <mergeCell ref="P119:R119"/>
    <mergeCell ref="S119:T119"/>
    <mergeCell ref="G114:H114"/>
    <mergeCell ref="I114:J114"/>
    <mergeCell ref="P114:R114"/>
    <mergeCell ref="S114:T114"/>
    <mergeCell ref="G115:H115"/>
    <mergeCell ref="I115:J115"/>
    <mergeCell ref="P115:R115"/>
    <mergeCell ref="S115:T115"/>
    <mergeCell ref="G116:H116"/>
    <mergeCell ref="I116:J116"/>
    <mergeCell ref="P116:R116"/>
    <mergeCell ref="S116:T116"/>
    <mergeCell ref="P111:R111"/>
    <mergeCell ref="S111:T111"/>
    <mergeCell ref="G112:H112"/>
    <mergeCell ref="I112:J112"/>
    <mergeCell ref="P112:R112"/>
    <mergeCell ref="S112:T112"/>
    <mergeCell ref="G113:H113"/>
    <mergeCell ref="I113:J113"/>
    <mergeCell ref="P113:R113"/>
    <mergeCell ref="S113:T113"/>
    <mergeCell ref="C106:C131"/>
    <mergeCell ref="D106:E131"/>
    <mergeCell ref="G106:H106"/>
    <mergeCell ref="I106:J106"/>
    <mergeCell ref="P106:R106"/>
    <mergeCell ref="S106:T106"/>
    <mergeCell ref="G107:H107"/>
    <mergeCell ref="I107:J107"/>
    <mergeCell ref="P107:R107"/>
    <mergeCell ref="S107:T107"/>
    <mergeCell ref="G108:H108"/>
    <mergeCell ref="I108:J108"/>
    <mergeCell ref="P108:R108"/>
    <mergeCell ref="S108:T108"/>
    <mergeCell ref="G109:H109"/>
    <mergeCell ref="I109:J109"/>
    <mergeCell ref="P109:R109"/>
    <mergeCell ref="S109:T109"/>
    <mergeCell ref="G110:H110"/>
    <mergeCell ref="I110:J110"/>
    <mergeCell ref="P110:R110"/>
    <mergeCell ref="S110:T110"/>
    <mergeCell ref="G111:H111"/>
    <mergeCell ref="I111:J111"/>
    <mergeCell ref="G103:H103"/>
    <mergeCell ref="I103:J103"/>
    <mergeCell ref="P103:R103"/>
    <mergeCell ref="S103:T103"/>
    <mergeCell ref="G104:H104"/>
    <mergeCell ref="I104:J104"/>
    <mergeCell ref="P104:R104"/>
    <mergeCell ref="S104:T104"/>
    <mergeCell ref="G105:H105"/>
    <mergeCell ref="I105:J105"/>
    <mergeCell ref="P105:R105"/>
    <mergeCell ref="S105:T105"/>
    <mergeCell ref="S100:T100"/>
    <mergeCell ref="G101:H101"/>
    <mergeCell ref="I101:J101"/>
    <mergeCell ref="P101:R101"/>
    <mergeCell ref="S101:T101"/>
    <mergeCell ref="G102:H102"/>
    <mergeCell ref="I102:J102"/>
    <mergeCell ref="P102:R102"/>
    <mergeCell ref="S102:T102"/>
    <mergeCell ref="G100:H100"/>
    <mergeCell ref="I100:J100"/>
    <mergeCell ref="P100:R100"/>
    <mergeCell ref="S97:T97"/>
    <mergeCell ref="G98:H98"/>
    <mergeCell ref="I98:J98"/>
    <mergeCell ref="P98:R98"/>
    <mergeCell ref="S98:T98"/>
    <mergeCell ref="G99:H99"/>
    <mergeCell ref="I99:J99"/>
    <mergeCell ref="P99:R99"/>
    <mergeCell ref="S99:T99"/>
    <mergeCell ref="G97:H97"/>
    <mergeCell ref="I97:J97"/>
    <mergeCell ref="P97:R97"/>
    <mergeCell ref="G94:H94"/>
    <mergeCell ref="I94:J94"/>
    <mergeCell ref="P94:R94"/>
    <mergeCell ref="S94:T94"/>
    <mergeCell ref="G95:H95"/>
    <mergeCell ref="I95:J95"/>
    <mergeCell ref="P95:R95"/>
    <mergeCell ref="S95:T95"/>
    <mergeCell ref="G96:H96"/>
    <mergeCell ref="I96:J96"/>
    <mergeCell ref="P96:R96"/>
    <mergeCell ref="S96:T96"/>
    <mergeCell ref="I91:J91"/>
    <mergeCell ref="P91:R91"/>
    <mergeCell ref="S91:T91"/>
    <mergeCell ref="G92:H92"/>
    <mergeCell ref="I92:J92"/>
    <mergeCell ref="P92:R92"/>
    <mergeCell ref="S92:T92"/>
    <mergeCell ref="G93:H93"/>
    <mergeCell ref="I93:J93"/>
    <mergeCell ref="P93:R93"/>
    <mergeCell ref="S93:T93"/>
    <mergeCell ref="G91:H91"/>
    <mergeCell ref="G88:H88"/>
    <mergeCell ref="I88:J88"/>
    <mergeCell ref="P88:R88"/>
    <mergeCell ref="S88:T88"/>
    <mergeCell ref="G89:H89"/>
    <mergeCell ref="I89:J89"/>
    <mergeCell ref="P89:R89"/>
    <mergeCell ref="S89:T89"/>
    <mergeCell ref="G90:H90"/>
    <mergeCell ref="I90:J90"/>
    <mergeCell ref="P90:R90"/>
    <mergeCell ref="S90:T90"/>
    <mergeCell ref="G85:H85"/>
    <mergeCell ref="I85:J85"/>
    <mergeCell ref="P85:R85"/>
    <mergeCell ref="S85:T85"/>
    <mergeCell ref="G86:H86"/>
    <mergeCell ref="I86:J86"/>
    <mergeCell ref="P86:R86"/>
    <mergeCell ref="S86:T86"/>
    <mergeCell ref="G87:H87"/>
    <mergeCell ref="I87:J87"/>
    <mergeCell ref="P87:R87"/>
    <mergeCell ref="S87:T87"/>
    <mergeCell ref="S82:T82"/>
    <mergeCell ref="G83:H83"/>
    <mergeCell ref="I83:J83"/>
    <mergeCell ref="P83:R83"/>
    <mergeCell ref="S83:T83"/>
    <mergeCell ref="G84:H84"/>
    <mergeCell ref="I84:J84"/>
    <mergeCell ref="P84:R84"/>
    <mergeCell ref="S84:T84"/>
    <mergeCell ref="G82:H82"/>
    <mergeCell ref="I82:J82"/>
    <mergeCell ref="P82:R82"/>
    <mergeCell ref="S79:T79"/>
    <mergeCell ref="G80:H80"/>
    <mergeCell ref="I80:J80"/>
    <mergeCell ref="P80:R80"/>
    <mergeCell ref="S80:T80"/>
    <mergeCell ref="G81:H81"/>
    <mergeCell ref="I81:J81"/>
    <mergeCell ref="P81:R81"/>
    <mergeCell ref="S81:T81"/>
    <mergeCell ref="G79:H79"/>
    <mergeCell ref="I79:J79"/>
    <mergeCell ref="P79:R79"/>
    <mergeCell ref="S76:T76"/>
    <mergeCell ref="G77:H77"/>
    <mergeCell ref="I77:J77"/>
    <mergeCell ref="P77:R77"/>
    <mergeCell ref="S77:T77"/>
    <mergeCell ref="G78:H78"/>
    <mergeCell ref="I78:J78"/>
    <mergeCell ref="P78:R78"/>
    <mergeCell ref="S78:T78"/>
    <mergeCell ref="G76:H76"/>
    <mergeCell ref="I76:J76"/>
    <mergeCell ref="P76:R76"/>
    <mergeCell ref="S73:T73"/>
    <mergeCell ref="G74:H74"/>
    <mergeCell ref="I74:J74"/>
    <mergeCell ref="P74:R74"/>
    <mergeCell ref="S74:T74"/>
    <mergeCell ref="G75:H75"/>
    <mergeCell ref="I75:J75"/>
    <mergeCell ref="P75:R75"/>
    <mergeCell ref="S75:T75"/>
    <mergeCell ref="G73:H73"/>
    <mergeCell ref="I73:J73"/>
    <mergeCell ref="P73:R73"/>
    <mergeCell ref="G71:H71"/>
    <mergeCell ref="I71:J71"/>
    <mergeCell ref="P71:R71"/>
    <mergeCell ref="S71:T71"/>
    <mergeCell ref="G72:H72"/>
    <mergeCell ref="I72:J72"/>
    <mergeCell ref="P72:R72"/>
    <mergeCell ref="S72:T72"/>
    <mergeCell ref="G70:H70"/>
    <mergeCell ref="I70:J70"/>
    <mergeCell ref="P70:R70"/>
    <mergeCell ref="G68:H68"/>
    <mergeCell ref="I68:J68"/>
    <mergeCell ref="P68:R68"/>
    <mergeCell ref="S68:T68"/>
    <mergeCell ref="G69:H69"/>
    <mergeCell ref="I69:J69"/>
    <mergeCell ref="P69:R69"/>
    <mergeCell ref="S69:T69"/>
    <mergeCell ref="S70:T70"/>
    <mergeCell ref="G65:H65"/>
    <mergeCell ref="I65:J65"/>
    <mergeCell ref="P65:R65"/>
    <mergeCell ref="S65:T65"/>
    <mergeCell ref="G66:H66"/>
    <mergeCell ref="I66:J66"/>
    <mergeCell ref="P66:R66"/>
    <mergeCell ref="S66:T66"/>
    <mergeCell ref="G67:H67"/>
    <mergeCell ref="I67:J67"/>
    <mergeCell ref="P67:R67"/>
    <mergeCell ref="S67:T67"/>
    <mergeCell ref="G62:H62"/>
    <mergeCell ref="I62:J62"/>
    <mergeCell ref="P62:R62"/>
    <mergeCell ref="S62:T62"/>
    <mergeCell ref="G63:H63"/>
    <mergeCell ref="I63:J63"/>
    <mergeCell ref="P63:R63"/>
    <mergeCell ref="S63:T63"/>
    <mergeCell ref="G64:H64"/>
    <mergeCell ref="I64:J64"/>
    <mergeCell ref="P64:R64"/>
    <mergeCell ref="S64:T64"/>
    <mergeCell ref="G59:H59"/>
    <mergeCell ref="I59:J59"/>
    <mergeCell ref="P59:R59"/>
    <mergeCell ref="S59:T59"/>
    <mergeCell ref="G60:H60"/>
    <mergeCell ref="I60:J60"/>
    <mergeCell ref="P60:R60"/>
    <mergeCell ref="S60:T60"/>
    <mergeCell ref="G61:H61"/>
    <mergeCell ref="I61:J61"/>
    <mergeCell ref="P61:R61"/>
    <mergeCell ref="S61:T61"/>
    <mergeCell ref="P56:R56"/>
    <mergeCell ref="S56:T56"/>
    <mergeCell ref="G57:H57"/>
    <mergeCell ref="I57:J57"/>
    <mergeCell ref="P57:R57"/>
    <mergeCell ref="S57:T57"/>
    <mergeCell ref="G58:H58"/>
    <mergeCell ref="I58:J58"/>
    <mergeCell ref="P58:R58"/>
    <mergeCell ref="S58:T58"/>
    <mergeCell ref="C51:C105"/>
    <mergeCell ref="D51:E105"/>
    <mergeCell ref="G51:H51"/>
    <mergeCell ref="I51:J51"/>
    <mergeCell ref="P51:R51"/>
    <mergeCell ref="S51:T51"/>
    <mergeCell ref="G52:H52"/>
    <mergeCell ref="I52:J52"/>
    <mergeCell ref="P52:R52"/>
    <mergeCell ref="S52:T52"/>
    <mergeCell ref="G53:H53"/>
    <mergeCell ref="I53:J53"/>
    <mergeCell ref="P53:R53"/>
    <mergeCell ref="S53:T53"/>
    <mergeCell ref="G54:H54"/>
    <mergeCell ref="I54:J54"/>
    <mergeCell ref="P54:R54"/>
    <mergeCell ref="S54:T54"/>
    <mergeCell ref="G55:H55"/>
    <mergeCell ref="I55:J55"/>
    <mergeCell ref="P55:R55"/>
    <mergeCell ref="S55:T55"/>
    <mergeCell ref="G56:H56"/>
    <mergeCell ref="I56:J56"/>
    <mergeCell ref="G49:H49"/>
    <mergeCell ref="I49:J49"/>
    <mergeCell ref="P49:R49"/>
    <mergeCell ref="S49:T49"/>
    <mergeCell ref="G47:H47"/>
    <mergeCell ref="I47:J47"/>
    <mergeCell ref="P47:R47"/>
    <mergeCell ref="G50:H50"/>
    <mergeCell ref="I50:J50"/>
    <mergeCell ref="P50:R50"/>
    <mergeCell ref="S50:T50"/>
    <mergeCell ref="G46:H46"/>
    <mergeCell ref="I46:J46"/>
    <mergeCell ref="P46:R46"/>
    <mergeCell ref="S46:T46"/>
    <mergeCell ref="G44:H44"/>
    <mergeCell ref="I44:J44"/>
    <mergeCell ref="P44:R44"/>
    <mergeCell ref="S47:T47"/>
    <mergeCell ref="G48:H48"/>
    <mergeCell ref="I48:J48"/>
    <mergeCell ref="P48:R48"/>
    <mergeCell ref="S48:T48"/>
    <mergeCell ref="P42:R42"/>
    <mergeCell ref="S42:T42"/>
    <mergeCell ref="G43:H43"/>
    <mergeCell ref="I43:J43"/>
    <mergeCell ref="P43:R43"/>
    <mergeCell ref="S43:T43"/>
    <mergeCell ref="S44:T44"/>
    <mergeCell ref="G45:H45"/>
    <mergeCell ref="I45:J45"/>
    <mergeCell ref="P45:R45"/>
    <mergeCell ref="S45:T45"/>
    <mergeCell ref="S36:T36"/>
    <mergeCell ref="C37:C50"/>
    <mergeCell ref="D37:E50"/>
    <mergeCell ref="G37:H37"/>
    <mergeCell ref="I37:J37"/>
    <mergeCell ref="P37:R37"/>
    <mergeCell ref="S37:T37"/>
    <mergeCell ref="G38:H38"/>
    <mergeCell ref="I38:J38"/>
    <mergeCell ref="P38:R38"/>
    <mergeCell ref="S38:T38"/>
    <mergeCell ref="G39:H39"/>
    <mergeCell ref="I39:J39"/>
    <mergeCell ref="P39:R39"/>
    <mergeCell ref="S39:T39"/>
    <mergeCell ref="G40:H40"/>
    <mergeCell ref="I40:J40"/>
    <mergeCell ref="P40:R40"/>
    <mergeCell ref="S40:T40"/>
    <mergeCell ref="G41:H41"/>
    <mergeCell ref="I41:J41"/>
    <mergeCell ref="S41:T41"/>
    <mergeCell ref="G42:H42"/>
    <mergeCell ref="I42:J42"/>
    <mergeCell ref="S33:T33"/>
    <mergeCell ref="G34:H34"/>
    <mergeCell ref="I34:J34"/>
    <mergeCell ref="P34:R34"/>
    <mergeCell ref="S34:T34"/>
    <mergeCell ref="G35:H35"/>
    <mergeCell ref="I35:J35"/>
    <mergeCell ref="P35:R35"/>
    <mergeCell ref="S35:T35"/>
    <mergeCell ref="S27:T27"/>
    <mergeCell ref="G28:H28"/>
    <mergeCell ref="I28:J28"/>
    <mergeCell ref="P28:R28"/>
    <mergeCell ref="S28:T28"/>
    <mergeCell ref="C29:C36"/>
    <mergeCell ref="D29:E36"/>
    <mergeCell ref="G29:H29"/>
    <mergeCell ref="I29:J29"/>
    <mergeCell ref="P29:R29"/>
    <mergeCell ref="S29:T29"/>
    <mergeCell ref="G30:H30"/>
    <mergeCell ref="I30:J30"/>
    <mergeCell ref="P30:R30"/>
    <mergeCell ref="S30:T30"/>
    <mergeCell ref="G31:H31"/>
    <mergeCell ref="I31:J31"/>
    <mergeCell ref="P31:R31"/>
    <mergeCell ref="S31:T31"/>
    <mergeCell ref="G32:H32"/>
    <mergeCell ref="I32:J32"/>
    <mergeCell ref="P32:R32"/>
    <mergeCell ref="S32:T32"/>
    <mergeCell ref="G33:H33"/>
    <mergeCell ref="S24:T24"/>
    <mergeCell ref="G25:H25"/>
    <mergeCell ref="I25:J25"/>
    <mergeCell ref="P25:R25"/>
    <mergeCell ref="S25:T25"/>
    <mergeCell ref="G26:H26"/>
    <mergeCell ref="I26:J26"/>
    <mergeCell ref="P26:R26"/>
    <mergeCell ref="S26:T26"/>
    <mergeCell ref="S21:T21"/>
    <mergeCell ref="G22:H22"/>
    <mergeCell ref="I22:J22"/>
    <mergeCell ref="P22:R22"/>
    <mergeCell ref="S22:T22"/>
    <mergeCell ref="G23:H23"/>
    <mergeCell ref="I23:J23"/>
    <mergeCell ref="P23:R23"/>
    <mergeCell ref="S23:T23"/>
    <mergeCell ref="I21:J21"/>
    <mergeCell ref="P21:R21"/>
    <mergeCell ref="S15:T15"/>
    <mergeCell ref="C16:C23"/>
    <mergeCell ref="D16:E23"/>
    <mergeCell ref="G16:H16"/>
    <mergeCell ref="I16:J16"/>
    <mergeCell ref="P16:R16"/>
    <mergeCell ref="S16:T16"/>
    <mergeCell ref="G17:H17"/>
    <mergeCell ref="I17:J17"/>
    <mergeCell ref="P17:R17"/>
    <mergeCell ref="S17:T17"/>
    <mergeCell ref="G18:H18"/>
    <mergeCell ref="I18:J18"/>
    <mergeCell ref="P18:R18"/>
    <mergeCell ref="S18:T18"/>
    <mergeCell ref="G19:H19"/>
    <mergeCell ref="I19:J19"/>
    <mergeCell ref="P19:R19"/>
    <mergeCell ref="S19:T19"/>
    <mergeCell ref="G20:H20"/>
    <mergeCell ref="I20:J20"/>
    <mergeCell ref="P20:R20"/>
    <mergeCell ref="S20:T20"/>
    <mergeCell ref="G21:H21"/>
    <mergeCell ref="S9:T9"/>
    <mergeCell ref="C10:C15"/>
    <mergeCell ref="D10:E15"/>
    <mergeCell ref="G10:H10"/>
    <mergeCell ref="I10:J10"/>
    <mergeCell ref="P10:R10"/>
    <mergeCell ref="S10:T10"/>
    <mergeCell ref="G11:H11"/>
    <mergeCell ref="I11:J11"/>
    <mergeCell ref="P11:R11"/>
    <mergeCell ref="S11:T11"/>
    <mergeCell ref="G12:H12"/>
    <mergeCell ref="I12:J12"/>
    <mergeCell ref="P12:R12"/>
    <mergeCell ref="S12:T12"/>
    <mergeCell ref="G13:H13"/>
    <mergeCell ref="I13:J13"/>
    <mergeCell ref="P13:R13"/>
    <mergeCell ref="S13:T13"/>
    <mergeCell ref="G14:H14"/>
    <mergeCell ref="I14:J14"/>
    <mergeCell ref="P14:R14"/>
    <mergeCell ref="S14:T14"/>
    <mergeCell ref="G15:H15"/>
    <mergeCell ref="S5:T5"/>
    <mergeCell ref="G6:H6"/>
    <mergeCell ref="I6:J6"/>
    <mergeCell ref="P6:R6"/>
    <mergeCell ref="S6:T6"/>
    <mergeCell ref="C7:C8"/>
    <mergeCell ref="D7:E8"/>
    <mergeCell ref="G7:H7"/>
    <mergeCell ref="I7:J7"/>
    <mergeCell ref="P7:R7"/>
    <mergeCell ref="S7:T7"/>
    <mergeCell ref="G8:H8"/>
    <mergeCell ref="I8:J8"/>
    <mergeCell ref="P8:R8"/>
    <mergeCell ref="S8:T8"/>
    <mergeCell ref="S2:T2"/>
    <mergeCell ref="D3:E4"/>
    <mergeCell ref="G3:H3"/>
    <mergeCell ref="I3:J3"/>
    <mergeCell ref="P3:R3"/>
    <mergeCell ref="S3:T3"/>
    <mergeCell ref="G4:H4"/>
    <mergeCell ref="I4:J4"/>
    <mergeCell ref="P4:R4"/>
    <mergeCell ref="S4:T4"/>
    <mergeCell ref="C3:C4"/>
    <mergeCell ref="C5:C6"/>
    <mergeCell ref="D2:E2"/>
    <mergeCell ref="G2:H2"/>
    <mergeCell ref="D9:E9"/>
    <mergeCell ref="G9:H9"/>
    <mergeCell ref="I9:J9"/>
    <mergeCell ref="P9:R9"/>
    <mergeCell ref="I15:J15"/>
    <mergeCell ref="P15:R15"/>
    <mergeCell ref="I2:J2"/>
    <mergeCell ref="P2:R2"/>
    <mergeCell ref="D5:E6"/>
    <mergeCell ref="G5:H5"/>
    <mergeCell ref="I5:J5"/>
    <mergeCell ref="P5:R5"/>
    <mergeCell ref="C24:C28"/>
    <mergeCell ref="D24:E28"/>
    <mergeCell ref="G24:H24"/>
    <mergeCell ref="I24:J24"/>
    <mergeCell ref="P24:R24"/>
    <mergeCell ref="G27:H27"/>
    <mergeCell ref="I27:J27"/>
    <mergeCell ref="P27:R27"/>
    <mergeCell ref="P41:R41"/>
    <mergeCell ref="I33:J33"/>
    <mergeCell ref="P33:R33"/>
    <mergeCell ref="G36:H36"/>
    <mergeCell ref="I36:J36"/>
    <mergeCell ref="P36:R36"/>
  </mergeCells>
  <pageMargins left="1" right="1" top="1" bottom="1" header="1" footer="1"/>
  <pageSetup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78"/>
  <sheetViews>
    <sheetView topLeftCell="A49" workbookViewId="0">
      <selection activeCell="A69" sqref="A69:V69"/>
    </sheetView>
  </sheetViews>
  <sheetFormatPr baseColWidth="10" defaultRowHeight="15"/>
  <cols>
    <col min="1" max="1" width="25.85546875" customWidth="1"/>
    <col min="5" max="5" width="18.28515625" customWidth="1"/>
    <col min="6" max="6" width="23.5703125" customWidth="1"/>
    <col min="7" max="7" width="24.5703125" style="7" customWidth="1"/>
    <col min="8" max="8" width="14.7109375" style="7" customWidth="1"/>
    <col min="9" max="9" width="18.7109375" style="7" customWidth="1"/>
    <col min="10" max="10" width="14.42578125" style="79" customWidth="1"/>
    <col min="11" max="11" width="11.42578125" style="79"/>
    <col min="12" max="12" width="19.42578125" style="79" customWidth="1"/>
    <col min="13" max="13" width="28.28515625" customWidth="1"/>
    <col min="14" max="15" width="13.85546875" customWidth="1"/>
    <col min="16" max="16" width="19.5703125" customWidth="1"/>
  </cols>
  <sheetData>
    <row r="1" spans="1:16" ht="15.75" thickBot="1">
      <c r="A1" s="329" t="s">
        <v>128</v>
      </c>
      <c r="B1" s="329"/>
      <c r="C1" s="329"/>
    </row>
    <row r="2" spans="1:16" ht="15.75" thickBot="1">
      <c r="A2" s="15" t="s">
        <v>129</v>
      </c>
      <c r="B2" s="15">
        <v>3</v>
      </c>
      <c r="C2" s="15">
        <f>1338</f>
        <v>1338</v>
      </c>
      <c r="F2" s="290" t="s">
        <v>69</v>
      </c>
      <c r="G2" s="290"/>
      <c r="H2" s="290"/>
      <c r="I2" s="290"/>
      <c r="M2" s="290" t="s">
        <v>131</v>
      </c>
      <c r="N2" s="290"/>
      <c r="O2" s="290"/>
      <c r="P2" s="290"/>
    </row>
    <row r="3" spans="1:16" ht="15.75" thickBot="1">
      <c r="A3" s="15" t="s">
        <v>130</v>
      </c>
      <c r="B3" s="15">
        <v>3</v>
      </c>
      <c r="C3" s="15">
        <f>377+1439</f>
        <v>1816</v>
      </c>
      <c r="F3" t="s">
        <v>65</v>
      </c>
      <c r="G3" s="7" t="s">
        <v>66</v>
      </c>
      <c r="H3" s="7" t="s">
        <v>67</v>
      </c>
      <c r="I3" s="7" t="s">
        <v>68</v>
      </c>
      <c r="M3" t="s">
        <v>65</v>
      </c>
      <c r="N3" s="7" t="s">
        <v>66</v>
      </c>
      <c r="O3" s="7" t="s">
        <v>67</v>
      </c>
      <c r="P3" s="7" t="s">
        <v>68</v>
      </c>
    </row>
    <row r="4" spans="1:16" ht="15.75" thickBot="1">
      <c r="A4" s="15" t="s">
        <v>100</v>
      </c>
      <c r="B4" s="15">
        <v>3</v>
      </c>
      <c r="C4" s="15">
        <v>1941</v>
      </c>
      <c r="F4" t="s">
        <v>106</v>
      </c>
      <c r="G4" s="7">
        <v>17</v>
      </c>
      <c r="H4" s="7">
        <v>34</v>
      </c>
      <c r="I4" s="7">
        <f>12+1638</f>
        <v>1650</v>
      </c>
      <c r="M4" s="15" t="s">
        <v>129</v>
      </c>
      <c r="N4" s="7">
        <v>9</v>
      </c>
      <c r="O4" s="7">
        <v>2</v>
      </c>
      <c r="P4" s="7">
        <f>1338+179</f>
        <v>1517</v>
      </c>
    </row>
    <row r="5" spans="1:16" ht="15.75" thickBot="1">
      <c r="A5" s="15" t="s">
        <v>99</v>
      </c>
      <c r="B5" s="15">
        <v>3</v>
      </c>
      <c r="C5" s="15">
        <v>2001</v>
      </c>
      <c r="F5" t="s">
        <v>107</v>
      </c>
      <c r="G5" s="7">
        <v>19</v>
      </c>
      <c r="H5" s="7">
        <v>12</v>
      </c>
      <c r="I5" s="7">
        <f>2620+9</f>
        <v>2629</v>
      </c>
      <c r="M5" s="15" t="s">
        <v>130</v>
      </c>
      <c r="N5" s="7">
        <v>6</v>
      </c>
      <c r="O5" s="7">
        <v>33</v>
      </c>
      <c r="P5" s="7">
        <f>377+1439</f>
        <v>1816</v>
      </c>
    </row>
    <row r="6" spans="1:16" ht="15.75" thickBot="1">
      <c r="A6" s="15" t="s">
        <v>98</v>
      </c>
      <c r="B6" s="15">
        <v>3</v>
      </c>
      <c r="C6" s="15">
        <v>1297</v>
      </c>
      <c r="F6" t="s">
        <v>108</v>
      </c>
      <c r="G6" s="7">
        <v>20</v>
      </c>
      <c r="H6" s="7">
        <v>10</v>
      </c>
      <c r="I6" s="7">
        <f>1568+9</f>
        <v>1577</v>
      </c>
      <c r="M6" s="15" t="s">
        <v>100</v>
      </c>
      <c r="N6" s="7">
        <v>6</v>
      </c>
      <c r="O6" s="7">
        <v>6</v>
      </c>
      <c r="P6" s="7">
        <f>60+1486</f>
        <v>1546</v>
      </c>
    </row>
    <row r="7" spans="1:16" ht="15.75" thickBot="1">
      <c r="A7" s="15" t="s">
        <v>104</v>
      </c>
      <c r="B7" s="15">
        <v>3</v>
      </c>
      <c r="C7" s="15">
        <v>1853</v>
      </c>
      <c r="F7" s="290" t="s">
        <v>109</v>
      </c>
      <c r="G7" s="290"/>
      <c r="H7" s="290"/>
      <c r="I7" s="290"/>
      <c r="J7" s="73" t="s">
        <v>66</v>
      </c>
      <c r="K7" s="73" t="s">
        <v>67</v>
      </c>
      <c r="L7" s="73" t="s">
        <v>68</v>
      </c>
      <c r="M7" s="15" t="s">
        <v>99</v>
      </c>
      <c r="N7" s="7">
        <v>7</v>
      </c>
      <c r="O7" s="7">
        <v>25</v>
      </c>
      <c r="P7" s="7">
        <f>5+1704</f>
        <v>1709</v>
      </c>
    </row>
    <row r="8" spans="1:16" ht="15.75" thickBot="1">
      <c r="A8" s="329" t="s">
        <v>105</v>
      </c>
      <c r="B8" s="329"/>
      <c r="C8" s="329"/>
      <c r="M8" s="15" t="s">
        <v>98</v>
      </c>
      <c r="N8" s="7">
        <v>4</v>
      </c>
      <c r="O8" s="7">
        <v>8</v>
      </c>
      <c r="P8" s="7">
        <f>8+1908</f>
        <v>1916</v>
      </c>
    </row>
    <row r="9" spans="1:16" ht="15.75" thickBot="1">
      <c r="A9" s="15" t="s">
        <v>102</v>
      </c>
      <c r="B9" s="15">
        <v>3</v>
      </c>
      <c r="C9" s="15">
        <v>1929</v>
      </c>
      <c r="F9" s="290" t="s">
        <v>69</v>
      </c>
      <c r="G9" s="290"/>
      <c r="H9" s="290"/>
      <c r="I9" s="290"/>
      <c r="M9" s="15" t="s">
        <v>104</v>
      </c>
      <c r="N9" s="7">
        <v>7</v>
      </c>
      <c r="O9" s="7">
        <v>6</v>
      </c>
      <c r="P9" s="7">
        <f>1802+24</f>
        <v>1826</v>
      </c>
    </row>
    <row r="10" spans="1:16" ht="15.75" thickBot="1">
      <c r="A10" s="15" t="s">
        <v>101</v>
      </c>
      <c r="B10" s="15">
        <v>3</v>
      </c>
      <c r="C10" s="15">
        <v>1645</v>
      </c>
      <c r="F10" t="s">
        <v>65</v>
      </c>
      <c r="G10" s="7" t="s">
        <v>66</v>
      </c>
      <c r="H10" s="7" t="s">
        <v>67</v>
      </c>
      <c r="I10" s="7" t="s">
        <v>68</v>
      </c>
      <c r="N10" s="7"/>
      <c r="O10" s="7"/>
      <c r="P10" s="7"/>
    </row>
    <row r="11" spans="1:16" ht="15.75" thickBot="1">
      <c r="A11" s="15" t="s">
        <v>100</v>
      </c>
      <c r="B11" s="15">
        <v>3</v>
      </c>
      <c r="C11" s="15">
        <v>1941</v>
      </c>
      <c r="F11" t="s">
        <v>106</v>
      </c>
      <c r="G11" s="7">
        <v>17</v>
      </c>
      <c r="H11" s="7">
        <v>34</v>
      </c>
      <c r="I11" s="7">
        <f>12+1638</f>
        <v>1650</v>
      </c>
      <c r="N11" s="7"/>
      <c r="O11" s="7"/>
      <c r="P11" s="7"/>
    </row>
    <row r="12" spans="1:16" ht="15.75" thickBot="1">
      <c r="A12" s="15" t="s">
        <v>99</v>
      </c>
      <c r="B12" s="15">
        <v>3</v>
      </c>
      <c r="C12" s="15">
        <v>2001</v>
      </c>
      <c r="F12" t="s">
        <v>107</v>
      </c>
      <c r="G12" s="7">
        <v>19</v>
      </c>
      <c r="H12" s="7">
        <v>12</v>
      </c>
      <c r="I12" s="7">
        <f>2620+9</f>
        <v>2629</v>
      </c>
      <c r="N12" s="7"/>
      <c r="O12" s="7"/>
      <c r="P12" s="7"/>
    </row>
    <row r="13" spans="1:16" ht="15.75" thickBot="1">
      <c r="A13" s="15" t="s">
        <v>98</v>
      </c>
      <c r="B13" s="15">
        <v>3</v>
      </c>
      <c r="C13" s="15">
        <v>1297</v>
      </c>
      <c r="F13" t="s">
        <v>108</v>
      </c>
      <c r="G13" s="7">
        <v>20</v>
      </c>
      <c r="H13" s="7">
        <v>10</v>
      </c>
      <c r="I13" s="7">
        <f>1568+9</f>
        <v>1577</v>
      </c>
      <c r="N13" s="7"/>
      <c r="O13" s="7"/>
      <c r="P13" s="7"/>
    </row>
    <row r="14" spans="1:16" ht="15.75" thickBot="1">
      <c r="A14" s="15" t="s">
        <v>104</v>
      </c>
      <c r="B14" s="15">
        <v>3</v>
      </c>
      <c r="C14" s="15">
        <v>1853</v>
      </c>
      <c r="F14" s="290" t="s">
        <v>109</v>
      </c>
      <c r="G14" s="290"/>
      <c r="H14" s="290"/>
      <c r="I14" s="290"/>
      <c r="J14" s="73" t="s">
        <v>66</v>
      </c>
      <c r="K14" s="73" t="s">
        <v>67</v>
      </c>
      <c r="L14" s="73" t="s">
        <v>68</v>
      </c>
    </row>
    <row r="15" spans="1:16">
      <c r="C15" s="17">
        <f>SUM(C9:C14)</f>
        <v>10666</v>
      </c>
      <c r="F15" s="17" t="s">
        <v>90</v>
      </c>
    </row>
    <row r="16" spans="1:16" ht="15.75" thickBot="1">
      <c r="A16" s="329" t="s">
        <v>103</v>
      </c>
      <c r="B16" s="329"/>
      <c r="C16" s="329"/>
      <c r="F16" t="s">
        <v>110</v>
      </c>
      <c r="G16" s="7">
        <v>25</v>
      </c>
    </row>
    <row r="17" spans="1:14" ht="15.75" thickBot="1">
      <c r="A17" s="15" t="s">
        <v>102</v>
      </c>
      <c r="B17" s="15">
        <v>3</v>
      </c>
      <c r="C17" s="15">
        <f>1757+9+24</f>
        <v>1790</v>
      </c>
      <c r="D17">
        <v>1993</v>
      </c>
      <c r="E17">
        <f>D17-C17</f>
        <v>203</v>
      </c>
      <c r="F17" t="s">
        <v>111</v>
      </c>
      <c r="G17" s="7">
        <v>28</v>
      </c>
    </row>
    <row r="18" spans="1:14" ht="15.75" thickBot="1">
      <c r="A18" s="15" t="s">
        <v>101</v>
      </c>
      <c r="B18" s="15">
        <v>3</v>
      </c>
      <c r="C18" s="15">
        <f>11+10+1489+5</f>
        <v>1515</v>
      </c>
      <c r="D18">
        <v>1992</v>
      </c>
      <c r="E18">
        <f t="shared" ref="E18:E19" si="0">D18-C18</f>
        <v>477</v>
      </c>
    </row>
    <row r="19" spans="1:14" ht="15.75" thickBot="1">
      <c r="A19" s="15" t="s">
        <v>100</v>
      </c>
      <c r="B19" s="15">
        <v>3</v>
      </c>
      <c r="C19" s="15">
        <f>11+1675+5+12</f>
        <v>1703</v>
      </c>
      <c r="D19">
        <v>1986</v>
      </c>
      <c r="E19">
        <f t="shared" si="0"/>
        <v>283</v>
      </c>
    </row>
    <row r="20" spans="1:14" ht="15.75" thickBot="1">
      <c r="A20" s="15" t="s">
        <v>106</v>
      </c>
      <c r="B20" s="15">
        <v>3</v>
      </c>
      <c r="C20" s="15">
        <v>1701</v>
      </c>
      <c r="E20">
        <f>SUM(E17:E19)</f>
        <v>963</v>
      </c>
      <c r="F20">
        <f>963/5008</f>
        <v>0.19229233226837061</v>
      </c>
    </row>
    <row r="21" spans="1:14" ht="15.75" thickBot="1">
      <c r="A21" s="15" t="s">
        <v>107</v>
      </c>
      <c r="B21" s="15">
        <v>3</v>
      </c>
      <c r="C21" s="15">
        <v>2660</v>
      </c>
      <c r="E21" s="51"/>
      <c r="F21" s="52" t="s">
        <v>90</v>
      </c>
      <c r="G21" s="52" t="s">
        <v>65</v>
      </c>
      <c r="H21" s="52" t="s">
        <v>112</v>
      </c>
      <c r="I21" s="52" t="s">
        <v>92</v>
      </c>
      <c r="J21" s="80" t="s">
        <v>65</v>
      </c>
      <c r="K21" s="80" t="s">
        <v>112</v>
      </c>
      <c r="L21" s="80" t="s">
        <v>92</v>
      </c>
      <c r="M21" s="67" t="s">
        <v>134</v>
      </c>
      <c r="N21" s="67" t="s">
        <v>135</v>
      </c>
    </row>
    <row r="22" spans="1:14" ht="30.75" thickBot="1">
      <c r="A22" s="15" t="s">
        <v>108</v>
      </c>
      <c r="B22" s="15">
        <v>3</v>
      </c>
      <c r="C22" s="15">
        <v>1607</v>
      </c>
      <c r="E22" s="326" t="s">
        <v>66</v>
      </c>
      <c r="F22" s="328">
        <v>11554725</v>
      </c>
      <c r="G22" s="53" t="s">
        <v>114</v>
      </c>
      <c r="H22" s="53">
        <v>28</v>
      </c>
      <c r="I22" s="54">
        <v>319220</v>
      </c>
      <c r="J22" s="107" t="s">
        <v>150</v>
      </c>
      <c r="K22" s="107">
        <v>14</v>
      </c>
      <c r="L22" s="54">
        <v>228890</v>
      </c>
      <c r="M22">
        <f>H22+H24+H26</f>
        <v>1993</v>
      </c>
      <c r="N22" s="23">
        <f>I22+I24+I26</f>
        <v>10796260</v>
      </c>
    </row>
    <row r="23" spans="1:14">
      <c r="C23" s="17">
        <f>SUM(C17:C22)</f>
        <v>10976</v>
      </c>
      <c r="E23" s="327"/>
      <c r="F23" s="328"/>
      <c r="G23" s="53" t="s">
        <v>115</v>
      </c>
      <c r="H23" s="53">
        <v>14</v>
      </c>
      <c r="I23" s="54">
        <v>136480</v>
      </c>
      <c r="J23" s="104"/>
      <c r="K23" s="104"/>
      <c r="L23" s="54"/>
      <c r="M23">
        <f>H23+H25+H27</f>
        <v>1992</v>
      </c>
      <c r="N23" s="23">
        <f>I23+I25+I27</f>
        <v>10509530</v>
      </c>
    </row>
    <row r="24" spans="1:14" ht="30.75" thickBot="1">
      <c r="A24" s="329" t="s">
        <v>113</v>
      </c>
      <c r="B24" s="329"/>
      <c r="C24" s="329"/>
      <c r="E24" s="326" t="s">
        <v>67</v>
      </c>
      <c r="F24" s="328">
        <v>9021389</v>
      </c>
      <c r="G24" s="53" t="s">
        <v>110</v>
      </c>
      <c r="H24" s="53">
        <v>14</v>
      </c>
      <c r="I24" s="54">
        <v>319220</v>
      </c>
      <c r="J24" s="104" t="s">
        <v>116</v>
      </c>
      <c r="K24" s="104">
        <v>23</v>
      </c>
      <c r="L24" s="54">
        <v>142510</v>
      </c>
      <c r="M24">
        <f>K22+K24+K26</f>
        <v>1986</v>
      </c>
      <c r="N24" s="23">
        <f>L22+L24+L26</f>
        <v>10819350</v>
      </c>
    </row>
    <row r="25" spans="1:14" ht="15.75" thickBot="1">
      <c r="A25" s="15" t="s">
        <v>102</v>
      </c>
      <c r="B25" s="15">
        <v>3</v>
      </c>
      <c r="C25" s="15">
        <f>SUM(G16:I16)</f>
        <v>25</v>
      </c>
      <c r="E25" s="327"/>
      <c r="F25" s="328"/>
      <c r="G25" s="53" t="s">
        <v>117</v>
      </c>
      <c r="H25" s="53">
        <v>28</v>
      </c>
      <c r="I25" s="54">
        <v>165290</v>
      </c>
      <c r="J25" s="104"/>
      <c r="K25" s="104"/>
      <c r="L25" s="54"/>
    </row>
    <row r="26" spans="1:14" ht="30.75" thickBot="1">
      <c r="A26" s="15" t="s">
        <v>101</v>
      </c>
      <c r="B26" s="15">
        <v>3</v>
      </c>
      <c r="C26" s="15">
        <f>SUM(G17:I17)</f>
        <v>28</v>
      </c>
      <c r="E26" s="326" t="s">
        <v>68</v>
      </c>
      <c r="F26" s="328" t="s">
        <v>118</v>
      </c>
      <c r="G26" s="53" t="s">
        <v>110</v>
      </c>
      <c r="H26" s="53">
        <f>9+1942</f>
        <v>1951</v>
      </c>
      <c r="I26" s="54">
        <f>65780+10092040</f>
        <v>10157820</v>
      </c>
      <c r="J26" s="104" t="s">
        <v>116</v>
      </c>
      <c r="K26" s="104">
        <f>7+1942</f>
        <v>1949</v>
      </c>
      <c r="L26" s="54">
        <f>57060+10390890</f>
        <v>10447950</v>
      </c>
    </row>
    <row r="27" spans="1:14" ht="15.75" thickBot="1">
      <c r="A27" s="15" t="s">
        <v>100</v>
      </c>
      <c r="B27" s="15">
        <v>3</v>
      </c>
      <c r="C27" s="15"/>
      <c r="E27" s="327"/>
      <c r="F27" s="328"/>
      <c r="G27" s="53" t="s">
        <v>117</v>
      </c>
      <c r="H27" s="53">
        <f>8+1942</f>
        <v>1950</v>
      </c>
      <c r="I27" s="54">
        <f>60930+10146830</f>
        <v>10207760</v>
      </c>
      <c r="J27" s="104"/>
      <c r="K27" s="104"/>
      <c r="L27" s="54"/>
    </row>
    <row r="28" spans="1:14" ht="45" customHeight="1">
      <c r="A28" s="331" t="s">
        <v>45</v>
      </c>
      <c r="B28" s="331"/>
      <c r="C28" s="331"/>
      <c r="E28" s="322" t="s">
        <v>66</v>
      </c>
      <c r="F28" s="322">
        <v>11554725</v>
      </c>
      <c r="G28" s="325" t="s">
        <v>141</v>
      </c>
      <c r="H28" s="325">
        <v>15</v>
      </c>
      <c r="I28" s="324">
        <v>144260</v>
      </c>
      <c r="J28" s="323" t="s">
        <v>148</v>
      </c>
      <c r="K28" s="323">
        <v>12</v>
      </c>
      <c r="L28" s="324">
        <v>125630</v>
      </c>
      <c r="M28" s="212"/>
    </row>
    <row r="29" spans="1:14" ht="18.75" customHeight="1">
      <c r="A29" s="330" t="s">
        <v>138</v>
      </c>
      <c r="B29" s="330"/>
      <c r="C29" s="330"/>
      <c r="D29" s="330"/>
      <c r="E29" s="322"/>
      <c r="F29" s="322"/>
      <c r="G29" s="325"/>
      <c r="H29" s="325"/>
      <c r="I29" s="324"/>
      <c r="J29" s="323"/>
      <c r="K29" s="323"/>
      <c r="L29" s="324"/>
    </row>
    <row r="30" spans="1:14" ht="68.25" customHeight="1">
      <c r="A30" s="330"/>
      <c r="B30" s="330"/>
      <c r="C30" s="330"/>
      <c r="D30" s="330"/>
      <c r="E30" s="320" t="s">
        <v>67</v>
      </c>
      <c r="F30" s="322">
        <v>9021389</v>
      </c>
      <c r="G30" s="219" t="s">
        <v>143</v>
      </c>
      <c r="H30" s="214">
        <v>15</v>
      </c>
      <c r="I30" s="215">
        <v>96790</v>
      </c>
      <c r="J30" s="217" t="s">
        <v>147</v>
      </c>
      <c r="K30" s="217">
        <v>26</v>
      </c>
      <c r="L30" s="215">
        <v>158530</v>
      </c>
    </row>
    <row r="31" spans="1:14" ht="18" customHeight="1">
      <c r="E31" s="321"/>
      <c r="F31" s="322"/>
      <c r="G31" s="214" t="s">
        <v>117</v>
      </c>
      <c r="H31" s="214">
        <v>28</v>
      </c>
      <c r="I31" s="215">
        <v>165290</v>
      </c>
      <c r="J31" s="217" t="s">
        <v>146</v>
      </c>
      <c r="K31" s="217">
        <v>27</v>
      </c>
      <c r="L31" s="215">
        <v>163840</v>
      </c>
    </row>
    <row r="32" spans="1:14">
      <c r="E32" s="320" t="s">
        <v>68</v>
      </c>
      <c r="F32" s="322" t="s">
        <v>118</v>
      </c>
      <c r="G32" s="214" t="s">
        <v>144</v>
      </c>
      <c r="H32" s="214">
        <f>1942+9</f>
        <v>1951</v>
      </c>
      <c r="I32" s="215">
        <f>10081024+123884</f>
        <v>10204908</v>
      </c>
      <c r="J32" s="217" t="s">
        <v>149</v>
      </c>
      <c r="K32" s="217">
        <f>13+1942</f>
        <v>1955</v>
      </c>
      <c r="L32" s="215">
        <f>89100+10390660</f>
        <v>10479760</v>
      </c>
    </row>
    <row r="33" spans="5:12" ht="30">
      <c r="E33" s="321"/>
      <c r="F33" s="322"/>
      <c r="G33" s="214"/>
      <c r="H33" s="214"/>
      <c r="I33" s="215"/>
      <c r="J33" s="217" t="s">
        <v>146</v>
      </c>
      <c r="K33" s="217">
        <f>1606+15</f>
        <v>1621</v>
      </c>
      <c r="L33" s="215">
        <f>8594660+99770</f>
        <v>8694430</v>
      </c>
    </row>
    <row r="34" spans="5:12">
      <c r="E34" s="320" t="s">
        <v>139</v>
      </c>
      <c r="F34" s="322">
        <v>10767597</v>
      </c>
      <c r="G34" s="219" t="s">
        <v>140</v>
      </c>
      <c r="H34" s="214">
        <v>26</v>
      </c>
      <c r="I34" s="215">
        <v>629247</v>
      </c>
      <c r="J34" s="217"/>
      <c r="K34" s="217"/>
      <c r="L34" s="215"/>
    </row>
    <row r="35" spans="5:12" ht="30">
      <c r="E35" s="321"/>
      <c r="F35" s="322"/>
      <c r="G35" s="214" t="s">
        <v>142</v>
      </c>
      <c r="H35" s="214">
        <v>9</v>
      </c>
      <c r="I35" s="215">
        <v>64073</v>
      </c>
      <c r="J35" s="217" t="s">
        <v>145</v>
      </c>
      <c r="K35" s="217">
        <v>6</v>
      </c>
      <c r="L35" s="215">
        <v>114125</v>
      </c>
    </row>
    <row r="37" spans="5:12">
      <c r="E37" s="91" t="s">
        <v>484</v>
      </c>
      <c r="F37" s="110" t="s">
        <v>90</v>
      </c>
      <c r="G37" s="110" t="s">
        <v>65</v>
      </c>
      <c r="H37" s="110" t="s">
        <v>112</v>
      </c>
      <c r="I37" s="110" t="s">
        <v>92</v>
      </c>
      <c r="J37" s="80" t="s">
        <v>65</v>
      </c>
      <c r="K37" s="80" t="s">
        <v>112</v>
      </c>
      <c r="L37" s="80" t="s">
        <v>92</v>
      </c>
    </row>
    <row r="38" spans="5:12">
      <c r="E38" s="326" t="s">
        <v>66</v>
      </c>
      <c r="F38" s="328">
        <v>11554725</v>
      </c>
      <c r="G38" s="53"/>
      <c r="H38" s="53"/>
      <c r="I38" s="54"/>
      <c r="J38" s="111"/>
      <c r="K38" s="111"/>
      <c r="L38" s="54"/>
    </row>
    <row r="39" spans="5:12">
      <c r="E39" s="327"/>
      <c r="F39" s="328"/>
      <c r="G39" s="53"/>
      <c r="H39" s="53"/>
      <c r="I39" s="54"/>
      <c r="J39" s="108"/>
      <c r="K39" s="108"/>
      <c r="L39" s="54"/>
    </row>
    <row r="40" spans="5:12">
      <c r="E40" s="326" t="s">
        <v>67</v>
      </c>
      <c r="F40" s="328">
        <v>9021389</v>
      </c>
      <c r="G40" s="53"/>
      <c r="H40" s="53"/>
      <c r="I40" s="54"/>
      <c r="J40" s="108"/>
      <c r="K40" s="108"/>
      <c r="L40" s="54"/>
    </row>
    <row r="41" spans="5:12">
      <c r="E41" s="327"/>
      <c r="F41" s="328"/>
      <c r="G41" s="53"/>
      <c r="H41" s="53"/>
      <c r="I41" s="54"/>
      <c r="J41" s="108"/>
      <c r="K41" s="108"/>
      <c r="L41" s="54"/>
    </row>
    <row r="42" spans="5:12">
      <c r="E42" s="326" t="s">
        <v>68</v>
      </c>
      <c r="F42" s="328" t="s">
        <v>118</v>
      </c>
      <c r="G42" s="53"/>
      <c r="H42" s="53"/>
      <c r="I42" s="54"/>
      <c r="J42" s="108"/>
      <c r="K42" s="108"/>
      <c r="L42" s="54"/>
    </row>
    <row r="43" spans="5:12">
      <c r="E43" s="327"/>
      <c r="F43" s="328"/>
      <c r="G43" s="53"/>
      <c r="H43" s="53"/>
      <c r="I43" s="54"/>
      <c r="J43" s="108"/>
      <c r="K43" s="108"/>
      <c r="L43" s="54"/>
    </row>
    <row r="44" spans="5:12">
      <c r="E44" s="322" t="s">
        <v>66</v>
      </c>
      <c r="F44" s="322">
        <v>11554725</v>
      </c>
      <c r="G44" s="325"/>
      <c r="H44" s="325"/>
      <c r="I44" s="324"/>
      <c r="J44" s="323"/>
      <c r="K44" s="323"/>
      <c r="L44" s="324"/>
    </row>
    <row r="45" spans="5:12">
      <c r="E45" s="322"/>
      <c r="F45" s="322"/>
      <c r="G45" s="325"/>
      <c r="H45" s="325"/>
      <c r="I45" s="324"/>
      <c r="J45" s="323"/>
      <c r="K45" s="323"/>
      <c r="L45" s="324"/>
    </row>
    <row r="46" spans="5:12">
      <c r="E46" s="320" t="s">
        <v>67</v>
      </c>
      <c r="F46" s="322">
        <v>9021389</v>
      </c>
      <c r="G46" s="219"/>
      <c r="H46" s="214"/>
      <c r="I46" s="215"/>
      <c r="J46" s="218"/>
      <c r="K46" s="218"/>
      <c r="L46" s="215"/>
    </row>
    <row r="47" spans="5:12">
      <c r="E47" s="321"/>
      <c r="F47" s="322"/>
      <c r="G47" s="214"/>
      <c r="H47" s="214"/>
      <c r="I47" s="215"/>
      <c r="J47" s="218"/>
      <c r="K47" s="218"/>
      <c r="L47" s="215"/>
    </row>
    <row r="48" spans="5:12">
      <c r="E48" s="320" t="s">
        <v>68</v>
      </c>
      <c r="F48" s="322" t="s">
        <v>118</v>
      </c>
      <c r="G48" s="214"/>
      <c r="H48" s="214"/>
      <c r="I48" s="215"/>
      <c r="J48" s="218"/>
      <c r="K48" s="218"/>
      <c r="L48" s="215"/>
    </row>
    <row r="49" spans="1:17">
      <c r="E49" s="321"/>
      <c r="F49" s="322"/>
      <c r="G49" s="214"/>
      <c r="H49" s="214"/>
      <c r="I49" s="215"/>
      <c r="J49" s="218"/>
      <c r="K49" s="218"/>
      <c r="L49" s="215"/>
    </row>
    <row r="50" spans="1:17">
      <c r="E50" s="320" t="s">
        <v>139</v>
      </c>
      <c r="F50" s="322">
        <v>10767597</v>
      </c>
      <c r="G50" s="219"/>
      <c r="H50" s="214"/>
      <c r="I50" s="215"/>
      <c r="J50" s="218"/>
      <c r="K50" s="218"/>
      <c r="L50" s="215"/>
    </row>
    <row r="51" spans="1:17">
      <c r="E51" s="321"/>
      <c r="F51" s="322"/>
      <c r="G51" s="214"/>
      <c r="H51" s="214"/>
      <c r="I51" s="215"/>
      <c r="J51" s="218"/>
      <c r="K51" s="218"/>
      <c r="L51" s="215"/>
    </row>
    <row r="52" spans="1:17">
      <c r="A52" s="319" t="s">
        <v>572</v>
      </c>
      <c r="B52" s="319"/>
      <c r="C52" s="319"/>
      <c r="D52" s="319"/>
      <c r="E52" s="319"/>
      <c r="F52" s="319"/>
      <c r="G52" s="319"/>
      <c r="H52" s="319"/>
      <c r="I52" s="319"/>
      <c r="J52" s="319"/>
      <c r="K52" s="319"/>
      <c r="L52" s="319"/>
      <c r="M52" s="319"/>
      <c r="N52" s="319"/>
      <c r="O52" s="319"/>
      <c r="P52" s="319"/>
      <c r="Q52" s="319"/>
    </row>
    <row r="53" spans="1:17">
      <c r="A53" s="119" t="s">
        <v>485</v>
      </c>
      <c r="B53" s="119" t="s">
        <v>486</v>
      </c>
      <c r="C53" s="119" t="s">
        <v>487</v>
      </c>
      <c r="D53" s="119" t="s">
        <v>488</v>
      </c>
      <c r="E53" s="119" t="s">
        <v>489</v>
      </c>
      <c r="F53" s="119" t="s">
        <v>490</v>
      </c>
      <c r="G53" s="119" t="s">
        <v>491</v>
      </c>
      <c r="H53" s="119" t="s">
        <v>492</v>
      </c>
      <c r="I53" s="119" t="s">
        <v>493</v>
      </c>
      <c r="J53" s="119" t="s">
        <v>494</v>
      </c>
      <c r="K53" s="119" t="s">
        <v>495</v>
      </c>
      <c r="L53" s="119" t="s">
        <v>496</v>
      </c>
      <c r="M53" s="119" t="s">
        <v>497</v>
      </c>
      <c r="N53" s="119" t="s">
        <v>498</v>
      </c>
      <c r="O53" s="119" t="s">
        <v>499</v>
      </c>
      <c r="P53" s="119" t="s">
        <v>78</v>
      </c>
      <c r="Q53" s="119" t="s">
        <v>500</v>
      </c>
    </row>
    <row r="54" spans="1:17">
      <c r="A54" s="51">
        <v>2020</v>
      </c>
      <c r="B54" s="51">
        <v>4</v>
      </c>
      <c r="C54" s="51">
        <v>1</v>
      </c>
      <c r="D54" s="51" t="s">
        <v>501</v>
      </c>
      <c r="E54" s="51">
        <v>0</v>
      </c>
      <c r="F54" s="51">
        <v>104</v>
      </c>
      <c r="G54" s="267">
        <v>43866</v>
      </c>
      <c r="H54" s="267">
        <v>43866</v>
      </c>
      <c r="I54" s="51">
        <v>283</v>
      </c>
      <c r="J54" s="51">
        <v>410</v>
      </c>
      <c r="K54" s="51" t="s">
        <v>553</v>
      </c>
      <c r="L54" s="51">
        <v>12020</v>
      </c>
      <c r="M54" s="51" t="s">
        <v>503</v>
      </c>
      <c r="N54" s="51">
        <v>899999094</v>
      </c>
      <c r="O54" s="51" t="s">
        <v>554</v>
      </c>
      <c r="P54" s="51" t="s">
        <v>555</v>
      </c>
      <c r="Q54" s="51" t="s">
        <v>555</v>
      </c>
    </row>
    <row r="55" spans="1:17">
      <c r="A55" s="51">
        <v>2020</v>
      </c>
      <c r="B55" s="51">
        <v>4</v>
      </c>
      <c r="C55" s="51">
        <v>1</v>
      </c>
      <c r="D55" s="51" t="s">
        <v>501</v>
      </c>
      <c r="E55" s="51">
        <v>0</v>
      </c>
      <c r="F55" s="51">
        <v>107</v>
      </c>
      <c r="G55" s="267">
        <v>43866</v>
      </c>
      <c r="H55" s="267">
        <v>43866</v>
      </c>
      <c r="I55" s="51">
        <v>481</v>
      </c>
      <c r="J55" s="51">
        <v>541</v>
      </c>
      <c r="K55" s="51" t="s">
        <v>553</v>
      </c>
      <c r="L55" s="51">
        <v>12020</v>
      </c>
      <c r="M55" s="51" t="s">
        <v>503</v>
      </c>
      <c r="N55" s="51">
        <v>899999094</v>
      </c>
      <c r="O55" s="51" t="s">
        <v>554</v>
      </c>
      <c r="P55" s="51" t="s">
        <v>556</v>
      </c>
      <c r="Q55" s="51" t="s">
        <v>556</v>
      </c>
    </row>
    <row r="56" spans="1:17">
      <c r="A56" s="51">
        <v>2020</v>
      </c>
      <c r="B56" s="51">
        <v>4</v>
      </c>
      <c r="C56" s="51">
        <v>1</v>
      </c>
      <c r="D56" s="51" t="s">
        <v>501</v>
      </c>
      <c r="E56" s="51">
        <v>0</v>
      </c>
      <c r="F56" s="51">
        <v>163</v>
      </c>
      <c r="G56" s="267">
        <v>43879</v>
      </c>
      <c r="H56" s="267">
        <v>43879</v>
      </c>
      <c r="I56" s="51">
        <v>560</v>
      </c>
      <c r="J56" s="51">
        <v>712</v>
      </c>
      <c r="K56" s="51" t="s">
        <v>553</v>
      </c>
      <c r="L56" s="51">
        <v>12020</v>
      </c>
      <c r="M56" s="51" t="s">
        <v>503</v>
      </c>
      <c r="N56" s="51">
        <v>899999094</v>
      </c>
      <c r="O56" s="51" t="s">
        <v>554</v>
      </c>
      <c r="P56" s="51" t="s">
        <v>557</v>
      </c>
      <c r="Q56" s="51" t="s">
        <v>557</v>
      </c>
    </row>
    <row r="57" spans="1:17">
      <c r="A57" s="51">
        <v>2020</v>
      </c>
      <c r="B57" s="51">
        <v>4</v>
      </c>
      <c r="C57" s="51">
        <v>1</v>
      </c>
      <c r="D57" s="51" t="s">
        <v>501</v>
      </c>
      <c r="E57" s="51">
        <v>0</v>
      </c>
      <c r="F57" s="51">
        <v>164</v>
      </c>
      <c r="G57" s="267">
        <v>43881</v>
      </c>
      <c r="H57" s="267">
        <v>43881</v>
      </c>
      <c r="I57" s="51">
        <v>605</v>
      </c>
      <c r="J57" s="51">
        <v>738</v>
      </c>
      <c r="K57" s="51" t="s">
        <v>553</v>
      </c>
      <c r="L57" s="51">
        <v>12020</v>
      </c>
      <c r="M57" s="51" t="s">
        <v>503</v>
      </c>
      <c r="N57" s="51">
        <v>899999094</v>
      </c>
      <c r="O57" s="51" t="s">
        <v>554</v>
      </c>
      <c r="P57" s="51" t="s">
        <v>558</v>
      </c>
      <c r="Q57" s="51" t="s">
        <v>558</v>
      </c>
    </row>
    <row r="58" spans="1:17">
      <c r="A58" s="51">
        <v>2020</v>
      </c>
      <c r="B58" s="51">
        <v>4</v>
      </c>
      <c r="C58" s="51">
        <v>1</v>
      </c>
      <c r="D58" s="51" t="s">
        <v>501</v>
      </c>
      <c r="E58" s="51">
        <v>0</v>
      </c>
      <c r="F58" s="51">
        <v>374</v>
      </c>
      <c r="G58" s="267">
        <v>43903</v>
      </c>
      <c r="H58" s="267">
        <v>43903</v>
      </c>
      <c r="I58" s="51">
        <v>774</v>
      </c>
      <c r="J58" s="51">
        <v>855</v>
      </c>
      <c r="K58" s="51" t="s">
        <v>553</v>
      </c>
      <c r="L58" s="51">
        <v>12020</v>
      </c>
      <c r="M58" s="51" t="s">
        <v>503</v>
      </c>
      <c r="N58" s="51">
        <v>899999094</v>
      </c>
      <c r="O58" s="51" t="s">
        <v>554</v>
      </c>
      <c r="P58" s="51" t="s">
        <v>559</v>
      </c>
      <c r="Q58" s="51" t="s">
        <v>559</v>
      </c>
    </row>
    <row r="59" spans="1:17">
      <c r="A59" s="51">
        <v>2020</v>
      </c>
      <c r="B59" s="51">
        <v>4</v>
      </c>
      <c r="C59" s="51">
        <v>1</v>
      </c>
      <c r="D59" s="51" t="s">
        <v>501</v>
      </c>
      <c r="E59" s="51">
        <v>0</v>
      </c>
      <c r="F59" s="51">
        <v>636</v>
      </c>
      <c r="G59" s="109" t="s">
        <v>560</v>
      </c>
      <c r="H59" s="109" t="s">
        <v>560</v>
      </c>
      <c r="I59" s="51">
        <v>859</v>
      </c>
      <c r="J59" s="51">
        <v>902</v>
      </c>
      <c r="K59" s="51" t="s">
        <v>553</v>
      </c>
      <c r="L59" s="51">
        <v>12020</v>
      </c>
      <c r="M59" s="51" t="s">
        <v>503</v>
      </c>
      <c r="N59" s="51">
        <v>899999094</v>
      </c>
      <c r="O59" s="51" t="s">
        <v>554</v>
      </c>
      <c r="P59" s="51" t="s">
        <v>561</v>
      </c>
      <c r="Q59" s="51" t="s">
        <v>561</v>
      </c>
    </row>
    <row r="60" spans="1:17">
      <c r="A60" s="51">
        <v>2020</v>
      </c>
      <c r="B60" s="51">
        <v>4</v>
      </c>
      <c r="C60" s="51">
        <v>1</v>
      </c>
      <c r="D60" s="51" t="s">
        <v>501</v>
      </c>
      <c r="E60" s="51">
        <v>0</v>
      </c>
      <c r="F60" s="51">
        <v>636</v>
      </c>
      <c r="G60" s="109" t="s">
        <v>560</v>
      </c>
      <c r="H60" s="109" t="s">
        <v>560</v>
      </c>
      <c r="I60" s="51">
        <v>860</v>
      </c>
      <c r="J60" s="51">
        <v>903</v>
      </c>
      <c r="K60" s="51" t="s">
        <v>553</v>
      </c>
      <c r="L60" s="51">
        <v>12020</v>
      </c>
      <c r="M60" s="51" t="s">
        <v>503</v>
      </c>
      <c r="N60" s="51">
        <v>899999094</v>
      </c>
      <c r="O60" s="51" t="s">
        <v>554</v>
      </c>
      <c r="P60" s="51" t="s">
        <v>562</v>
      </c>
      <c r="Q60" s="51" t="s">
        <v>562</v>
      </c>
    </row>
    <row r="61" spans="1:17">
      <c r="A61" s="51">
        <v>2020</v>
      </c>
      <c r="B61" s="51">
        <v>4</v>
      </c>
      <c r="C61" s="51">
        <v>1</v>
      </c>
      <c r="D61" s="51" t="s">
        <v>501</v>
      </c>
      <c r="E61" s="51">
        <v>0</v>
      </c>
      <c r="F61" s="51">
        <v>1198</v>
      </c>
      <c r="G61" s="267">
        <v>43983</v>
      </c>
      <c r="H61" s="267">
        <v>43983</v>
      </c>
      <c r="I61" s="51">
        <v>993</v>
      </c>
      <c r="J61" s="51">
        <v>980</v>
      </c>
      <c r="K61" s="51" t="s">
        <v>553</v>
      </c>
      <c r="L61" s="51">
        <v>12020</v>
      </c>
      <c r="M61" s="51" t="s">
        <v>503</v>
      </c>
      <c r="N61" s="51">
        <v>899999094</v>
      </c>
      <c r="O61" s="51" t="s">
        <v>554</v>
      </c>
      <c r="P61" s="51" t="s">
        <v>563</v>
      </c>
      <c r="Q61" s="51" t="s">
        <v>563</v>
      </c>
    </row>
    <row r="62" spans="1:17">
      <c r="A62" s="51">
        <v>2020</v>
      </c>
      <c r="B62" s="51">
        <v>4</v>
      </c>
      <c r="C62" s="51">
        <v>1</v>
      </c>
      <c r="D62" s="51" t="s">
        <v>501</v>
      </c>
      <c r="E62" s="51">
        <v>0</v>
      </c>
      <c r="F62" s="51">
        <v>1203</v>
      </c>
      <c r="G62" s="267">
        <v>43985</v>
      </c>
      <c r="H62" s="267">
        <v>43985</v>
      </c>
      <c r="I62" s="51">
        <v>995</v>
      </c>
      <c r="J62" s="51">
        <v>985</v>
      </c>
      <c r="K62" s="51" t="s">
        <v>553</v>
      </c>
      <c r="L62" s="51">
        <v>12020</v>
      </c>
      <c r="M62" s="51" t="s">
        <v>503</v>
      </c>
      <c r="N62" s="51">
        <v>899999094</v>
      </c>
      <c r="O62" s="51" t="s">
        <v>554</v>
      </c>
      <c r="P62" s="51" t="s">
        <v>564</v>
      </c>
      <c r="Q62" s="51" t="s">
        <v>564</v>
      </c>
    </row>
    <row r="63" spans="1:17">
      <c r="A63" s="51">
        <v>2020</v>
      </c>
      <c r="B63" s="51">
        <v>4</v>
      </c>
      <c r="C63" s="51">
        <v>1</v>
      </c>
      <c r="D63" s="51" t="s">
        <v>501</v>
      </c>
      <c r="E63" s="51">
        <v>0</v>
      </c>
      <c r="F63" s="51">
        <v>1448</v>
      </c>
      <c r="G63" s="267">
        <v>44001</v>
      </c>
      <c r="H63" s="267">
        <v>44001</v>
      </c>
      <c r="I63" s="51">
        <v>1084</v>
      </c>
      <c r="J63" s="51">
        <v>1091</v>
      </c>
      <c r="K63" s="51" t="s">
        <v>553</v>
      </c>
      <c r="L63" s="51">
        <v>12020</v>
      </c>
      <c r="M63" s="51" t="s">
        <v>503</v>
      </c>
      <c r="N63" s="51">
        <v>899999094</v>
      </c>
      <c r="O63" s="51" t="s">
        <v>554</v>
      </c>
      <c r="P63" s="51" t="s">
        <v>565</v>
      </c>
      <c r="Q63" s="51" t="s">
        <v>565</v>
      </c>
    </row>
    <row r="64" spans="1:17">
      <c r="A64" s="51">
        <v>2020</v>
      </c>
      <c r="B64" s="51">
        <v>4</v>
      </c>
      <c r="C64" s="51">
        <v>1</v>
      </c>
      <c r="D64" s="51" t="s">
        <v>501</v>
      </c>
      <c r="E64" s="51">
        <v>0</v>
      </c>
      <c r="F64" s="51">
        <v>1767</v>
      </c>
      <c r="G64" s="109" t="s">
        <v>566</v>
      </c>
      <c r="H64" s="109" t="s">
        <v>566</v>
      </c>
      <c r="I64" s="51">
        <v>1273</v>
      </c>
      <c r="J64" s="51">
        <v>1282</v>
      </c>
      <c r="K64" s="51" t="s">
        <v>553</v>
      </c>
      <c r="L64" s="51">
        <v>11554725</v>
      </c>
      <c r="M64" s="51" t="s">
        <v>503</v>
      </c>
      <c r="N64" s="51">
        <v>899999094</v>
      </c>
      <c r="O64" s="51" t="s">
        <v>554</v>
      </c>
      <c r="P64" s="51" t="s">
        <v>567</v>
      </c>
      <c r="Q64" s="51" t="s">
        <v>567</v>
      </c>
    </row>
    <row r="65" spans="1:22">
      <c r="A65" s="51">
        <v>2020</v>
      </c>
      <c r="B65" s="51">
        <v>4</v>
      </c>
      <c r="C65" s="51">
        <v>1</v>
      </c>
      <c r="D65" s="51" t="s">
        <v>501</v>
      </c>
      <c r="E65" s="51">
        <v>0</v>
      </c>
      <c r="F65" s="51">
        <v>1768</v>
      </c>
      <c r="G65" s="109" t="s">
        <v>568</v>
      </c>
      <c r="H65" s="109" t="s">
        <v>568</v>
      </c>
      <c r="I65" s="51">
        <v>1274</v>
      </c>
      <c r="J65" s="51">
        <v>1283</v>
      </c>
      <c r="K65" s="51" t="s">
        <v>553</v>
      </c>
      <c r="L65" s="51">
        <v>60003843</v>
      </c>
      <c r="M65" s="51" t="s">
        <v>503</v>
      </c>
      <c r="N65" s="51">
        <v>899999094</v>
      </c>
      <c r="O65" s="51" t="s">
        <v>554</v>
      </c>
      <c r="P65" s="51" t="s">
        <v>569</v>
      </c>
      <c r="Q65" s="51" t="s">
        <v>569</v>
      </c>
    </row>
    <row r="66" spans="1:22">
      <c r="A66" s="51">
        <v>2020</v>
      </c>
      <c r="B66" s="51">
        <v>4</v>
      </c>
      <c r="C66" s="51">
        <v>1</v>
      </c>
      <c r="D66" s="51" t="s">
        <v>501</v>
      </c>
      <c r="E66" s="51">
        <v>0</v>
      </c>
      <c r="F66" s="51">
        <v>2314</v>
      </c>
      <c r="G66" s="267">
        <v>44092</v>
      </c>
      <c r="H66" s="267">
        <v>44092</v>
      </c>
      <c r="I66" s="51">
        <v>1521</v>
      </c>
      <c r="J66" s="51">
        <v>1415</v>
      </c>
      <c r="K66" s="51" t="s">
        <v>553</v>
      </c>
      <c r="L66" s="51">
        <v>11554725</v>
      </c>
      <c r="M66" s="51" t="s">
        <v>503</v>
      </c>
      <c r="N66" s="51">
        <v>899999094</v>
      </c>
      <c r="O66" s="51" t="s">
        <v>554</v>
      </c>
      <c r="P66" s="51" t="s">
        <v>570</v>
      </c>
      <c r="Q66" s="51" t="s">
        <v>570</v>
      </c>
    </row>
    <row r="67" spans="1:22">
      <c r="A67" s="51">
        <v>2020</v>
      </c>
      <c r="B67" s="51">
        <v>4</v>
      </c>
      <c r="C67" s="51">
        <v>1</v>
      </c>
      <c r="D67" s="51" t="s">
        <v>501</v>
      </c>
      <c r="E67" s="51">
        <v>0</v>
      </c>
      <c r="F67" s="51">
        <v>2354</v>
      </c>
      <c r="G67" s="267">
        <v>44097</v>
      </c>
      <c r="H67" s="267">
        <v>44097</v>
      </c>
      <c r="I67" s="51">
        <v>1531</v>
      </c>
      <c r="J67" s="51">
        <v>1418</v>
      </c>
      <c r="K67" s="51" t="s">
        <v>553</v>
      </c>
      <c r="L67" s="51">
        <v>12020</v>
      </c>
      <c r="M67" s="51" t="s">
        <v>503</v>
      </c>
      <c r="N67" s="51">
        <v>899999094</v>
      </c>
      <c r="O67" s="51" t="s">
        <v>554</v>
      </c>
      <c r="P67" s="51" t="s">
        <v>571</v>
      </c>
      <c r="Q67" s="51" t="s">
        <v>571</v>
      </c>
    </row>
    <row r="69" spans="1:22">
      <c r="A69" s="319" t="s">
        <v>573</v>
      </c>
      <c r="B69" s="319"/>
      <c r="C69" s="319"/>
      <c r="D69" s="319"/>
      <c r="E69" s="319"/>
      <c r="F69" s="319"/>
      <c r="G69" s="319"/>
      <c r="H69" s="319"/>
      <c r="I69" s="319"/>
      <c r="J69" s="319"/>
      <c r="K69" s="319"/>
      <c r="L69" s="319"/>
      <c r="M69" s="319"/>
      <c r="N69" s="319"/>
      <c r="O69" s="319"/>
      <c r="P69" s="319"/>
      <c r="Q69" s="319"/>
      <c r="R69" s="319"/>
      <c r="S69" s="319"/>
      <c r="T69" s="319"/>
      <c r="U69" s="319"/>
      <c r="V69" s="319"/>
    </row>
    <row r="70" spans="1:22" ht="30">
      <c r="A70" s="268" t="s">
        <v>529</v>
      </c>
      <c r="B70" s="268" t="s">
        <v>530</v>
      </c>
      <c r="C70" s="268" t="s">
        <v>531</v>
      </c>
      <c r="D70" s="269" t="s">
        <v>532</v>
      </c>
      <c r="E70" s="268" t="s">
        <v>533</v>
      </c>
      <c r="F70" s="269" t="s">
        <v>534</v>
      </c>
      <c r="G70" s="268" t="s">
        <v>535</v>
      </c>
      <c r="H70" s="268" t="s">
        <v>536</v>
      </c>
      <c r="I70" s="268" t="s">
        <v>537</v>
      </c>
      <c r="J70" s="268" t="s">
        <v>538</v>
      </c>
      <c r="K70" s="268" t="s">
        <v>539</v>
      </c>
      <c r="L70" s="268" t="s">
        <v>540</v>
      </c>
      <c r="M70" s="269" t="s">
        <v>541</v>
      </c>
      <c r="N70" s="269" t="s">
        <v>542</v>
      </c>
      <c r="O70" s="268" t="s">
        <v>499</v>
      </c>
      <c r="P70" s="268" t="s">
        <v>544</v>
      </c>
      <c r="Q70" s="268" t="s">
        <v>545</v>
      </c>
      <c r="R70" s="268" t="s">
        <v>546</v>
      </c>
      <c r="S70" s="268" t="s">
        <v>547</v>
      </c>
      <c r="T70" s="268" t="s">
        <v>544</v>
      </c>
      <c r="U70" s="268" t="s">
        <v>548</v>
      </c>
      <c r="V70" s="268" t="s">
        <v>549</v>
      </c>
    </row>
    <row r="71" spans="1:22">
      <c r="A71" s="262" t="s">
        <v>550</v>
      </c>
      <c r="B71" s="262" t="s">
        <v>551</v>
      </c>
      <c r="C71" s="262" t="s">
        <v>27</v>
      </c>
      <c r="D71" s="262" t="s">
        <v>552</v>
      </c>
      <c r="E71" s="262" t="s">
        <v>474</v>
      </c>
      <c r="F71" s="262" t="s">
        <v>516</v>
      </c>
      <c r="G71" s="262" t="s">
        <v>574</v>
      </c>
      <c r="H71" s="262" t="s">
        <v>518</v>
      </c>
      <c r="I71" s="262" t="s">
        <v>519</v>
      </c>
      <c r="J71" s="262" t="s">
        <v>519</v>
      </c>
      <c r="K71" s="262" t="s">
        <v>27</v>
      </c>
      <c r="L71" s="262" t="s">
        <v>575</v>
      </c>
      <c r="M71" s="262" t="s">
        <v>503</v>
      </c>
      <c r="N71" s="262" t="s">
        <v>576</v>
      </c>
      <c r="O71" s="262" t="s">
        <v>577</v>
      </c>
      <c r="P71" s="263">
        <v>44123</v>
      </c>
      <c r="Q71" s="264">
        <v>7873850</v>
      </c>
      <c r="R71" s="264">
        <v>0</v>
      </c>
      <c r="S71" s="264">
        <v>7873850</v>
      </c>
      <c r="T71" s="263">
        <v>44127</v>
      </c>
      <c r="U71" s="263">
        <v>44127</v>
      </c>
      <c r="V71" s="262" t="s">
        <v>578</v>
      </c>
    </row>
    <row r="72" spans="1:22">
      <c r="A72" s="262" t="s">
        <v>550</v>
      </c>
      <c r="B72" s="262" t="s">
        <v>551</v>
      </c>
      <c r="C72" s="262" t="s">
        <v>27</v>
      </c>
      <c r="D72" s="262" t="s">
        <v>552</v>
      </c>
      <c r="E72" s="262" t="s">
        <v>474</v>
      </c>
      <c r="F72" s="262" t="s">
        <v>516</v>
      </c>
      <c r="G72" s="262" t="s">
        <v>574</v>
      </c>
      <c r="H72" s="262" t="s">
        <v>518</v>
      </c>
      <c r="I72" s="262" t="s">
        <v>519</v>
      </c>
      <c r="J72" s="262" t="s">
        <v>519</v>
      </c>
      <c r="K72" s="262" t="s">
        <v>27</v>
      </c>
      <c r="L72" s="262" t="s">
        <v>575</v>
      </c>
      <c r="M72" s="262" t="s">
        <v>503</v>
      </c>
      <c r="N72" s="262" t="s">
        <v>576</v>
      </c>
      <c r="O72" s="262" t="s">
        <v>577</v>
      </c>
      <c r="P72" s="263">
        <v>44123</v>
      </c>
      <c r="Q72" s="264">
        <v>89090</v>
      </c>
      <c r="R72" s="264">
        <v>0</v>
      </c>
      <c r="S72" s="264">
        <v>89090</v>
      </c>
      <c r="T72" s="263">
        <v>44123</v>
      </c>
      <c r="U72" s="263">
        <v>44124</v>
      </c>
      <c r="V72" s="262" t="s">
        <v>579</v>
      </c>
    </row>
    <row r="73" spans="1:22">
      <c r="A73" s="262" t="s">
        <v>550</v>
      </c>
      <c r="B73" s="262" t="s">
        <v>551</v>
      </c>
      <c r="C73" s="262" t="s">
        <v>27</v>
      </c>
      <c r="D73" s="262" t="s">
        <v>552</v>
      </c>
      <c r="E73" s="262" t="s">
        <v>474</v>
      </c>
      <c r="F73" s="262" t="s">
        <v>516</v>
      </c>
      <c r="G73" s="262" t="s">
        <v>574</v>
      </c>
      <c r="H73" s="262" t="s">
        <v>518</v>
      </c>
      <c r="I73" s="262" t="s">
        <v>519</v>
      </c>
      <c r="J73" s="262" t="s">
        <v>519</v>
      </c>
      <c r="K73" s="262" t="s">
        <v>27</v>
      </c>
      <c r="L73" s="262" t="s">
        <v>580</v>
      </c>
      <c r="M73" s="262" t="s">
        <v>503</v>
      </c>
      <c r="N73" s="262" t="s">
        <v>576</v>
      </c>
      <c r="O73" s="262" t="s">
        <v>577</v>
      </c>
      <c r="P73" s="263">
        <v>44123</v>
      </c>
      <c r="Q73" s="264">
        <v>689440</v>
      </c>
      <c r="R73" s="264">
        <v>0</v>
      </c>
      <c r="S73" s="264">
        <v>689440</v>
      </c>
      <c r="T73" s="263">
        <v>44127</v>
      </c>
      <c r="U73" s="263">
        <v>44127</v>
      </c>
      <c r="V73" s="262" t="s">
        <v>581</v>
      </c>
    </row>
    <row r="74" spans="1:22">
      <c r="A74" s="262" t="s">
        <v>550</v>
      </c>
      <c r="B74" s="262" t="s">
        <v>551</v>
      </c>
      <c r="C74" s="262" t="s">
        <v>27</v>
      </c>
      <c r="D74" s="262" t="s">
        <v>552</v>
      </c>
      <c r="E74" s="262" t="s">
        <v>474</v>
      </c>
      <c r="F74" s="262" t="s">
        <v>516</v>
      </c>
      <c r="G74" s="262" t="s">
        <v>574</v>
      </c>
      <c r="H74" s="262" t="s">
        <v>518</v>
      </c>
      <c r="I74" s="262" t="s">
        <v>519</v>
      </c>
      <c r="J74" s="262" t="s">
        <v>519</v>
      </c>
      <c r="K74" s="262" t="s">
        <v>27</v>
      </c>
      <c r="L74" s="262" t="s">
        <v>575</v>
      </c>
      <c r="M74" s="262" t="s">
        <v>503</v>
      </c>
      <c r="N74" s="262" t="s">
        <v>576</v>
      </c>
      <c r="O74" s="262" t="s">
        <v>577</v>
      </c>
      <c r="P74" s="263">
        <v>44123</v>
      </c>
      <c r="Q74" s="264">
        <v>88488</v>
      </c>
      <c r="R74" s="264">
        <v>0</v>
      </c>
      <c r="S74" s="264">
        <v>88488</v>
      </c>
      <c r="T74" s="263">
        <v>44127</v>
      </c>
      <c r="U74" s="263">
        <v>44127</v>
      </c>
      <c r="V74" s="262" t="s">
        <v>582</v>
      </c>
    </row>
    <row r="75" spans="1:22">
      <c r="A75" s="262" t="s">
        <v>550</v>
      </c>
      <c r="B75" s="262" t="s">
        <v>551</v>
      </c>
      <c r="C75" s="262" t="s">
        <v>27</v>
      </c>
      <c r="D75" s="262" t="s">
        <v>552</v>
      </c>
      <c r="E75" s="262" t="s">
        <v>474</v>
      </c>
      <c r="F75" s="262" t="s">
        <v>516</v>
      </c>
      <c r="G75" s="262" t="s">
        <v>574</v>
      </c>
      <c r="H75" s="262" t="s">
        <v>518</v>
      </c>
      <c r="I75" s="262" t="s">
        <v>519</v>
      </c>
      <c r="J75" s="262" t="s">
        <v>519</v>
      </c>
      <c r="K75" s="262" t="s">
        <v>27</v>
      </c>
      <c r="L75" s="262" t="s">
        <v>583</v>
      </c>
      <c r="M75" s="262" t="s">
        <v>503</v>
      </c>
      <c r="N75" s="262" t="s">
        <v>576</v>
      </c>
      <c r="O75" s="262" t="s">
        <v>577</v>
      </c>
      <c r="P75" s="263">
        <v>44146</v>
      </c>
      <c r="Q75" s="264">
        <v>93750</v>
      </c>
      <c r="R75" s="264">
        <v>0</v>
      </c>
      <c r="S75" s="264">
        <v>93750</v>
      </c>
      <c r="T75" s="263">
        <v>44147</v>
      </c>
      <c r="U75" s="263">
        <v>44147</v>
      </c>
      <c r="V75" s="262" t="s">
        <v>584</v>
      </c>
    </row>
    <row r="76" spans="1:22">
      <c r="A76" s="262" t="s">
        <v>550</v>
      </c>
      <c r="B76" s="262" t="s">
        <v>551</v>
      </c>
      <c r="C76" s="262" t="s">
        <v>27</v>
      </c>
      <c r="D76" s="262" t="s">
        <v>552</v>
      </c>
      <c r="E76" s="262" t="s">
        <v>474</v>
      </c>
      <c r="F76" s="262" t="s">
        <v>516</v>
      </c>
      <c r="G76" s="262" t="s">
        <v>574</v>
      </c>
      <c r="H76" s="262" t="s">
        <v>518</v>
      </c>
      <c r="I76" s="262" t="s">
        <v>519</v>
      </c>
      <c r="J76" s="262" t="s">
        <v>519</v>
      </c>
      <c r="K76" s="262" t="s">
        <v>27</v>
      </c>
      <c r="L76" s="262" t="s">
        <v>575</v>
      </c>
      <c r="M76" s="262" t="s">
        <v>503</v>
      </c>
      <c r="N76" s="262" t="s">
        <v>576</v>
      </c>
      <c r="O76" s="262" t="s">
        <v>577</v>
      </c>
      <c r="P76" s="263">
        <v>44166</v>
      </c>
      <c r="Q76" s="264">
        <v>7633310</v>
      </c>
      <c r="R76" s="264">
        <v>0</v>
      </c>
      <c r="S76" s="264">
        <v>7633310</v>
      </c>
      <c r="T76" s="263">
        <v>44166</v>
      </c>
      <c r="U76" s="263">
        <v>44167</v>
      </c>
      <c r="V76" s="262" t="s">
        <v>585</v>
      </c>
    </row>
    <row r="77" spans="1:22">
      <c r="A77" s="262" t="s">
        <v>550</v>
      </c>
      <c r="B77" s="262" t="s">
        <v>551</v>
      </c>
      <c r="C77" s="262" t="s">
        <v>27</v>
      </c>
      <c r="D77" s="262" t="s">
        <v>552</v>
      </c>
      <c r="E77" s="262" t="s">
        <v>474</v>
      </c>
      <c r="F77" s="262" t="s">
        <v>516</v>
      </c>
      <c r="G77" s="262" t="s">
        <v>574</v>
      </c>
      <c r="H77" s="262" t="s">
        <v>518</v>
      </c>
      <c r="I77" s="262" t="s">
        <v>519</v>
      </c>
      <c r="J77" s="262" t="s">
        <v>519</v>
      </c>
      <c r="K77" s="262" t="s">
        <v>27</v>
      </c>
      <c r="L77" s="262" t="s">
        <v>575</v>
      </c>
      <c r="M77" s="262" t="s">
        <v>503</v>
      </c>
      <c r="N77" s="262" t="s">
        <v>576</v>
      </c>
      <c r="O77" s="262" t="s">
        <v>577</v>
      </c>
      <c r="P77" s="263">
        <v>44166</v>
      </c>
      <c r="Q77" s="264">
        <v>179910</v>
      </c>
      <c r="R77" s="264">
        <v>0</v>
      </c>
      <c r="S77" s="264">
        <v>179910</v>
      </c>
      <c r="T77" s="263">
        <v>44166</v>
      </c>
      <c r="U77" s="263">
        <v>44167</v>
      </c>
      <c r="V77" s="262" t="s">
        <v>586</v>
      </c>
    </row>
    <row r="78" spans="1:22">
      <c r="A78" s="262" t="s">
        <v>550</v>
      </c>
      <c r="B78" s="262" t="s">
        <v>551</v>
      </c>
      <c r="C78" s="262" t="s">
        <v>27</v>
      </c>
      <c r="D78" s="262" t="s">
        <v>552</v>
      </c>
      <c r="E78" s="262" t="s">
        <v>474</v>
      </c>
      <c r="F78" s="262" t="s">
        <v>516</v>
      </c>
      <c r="G78" s="262" t="s">
        <v>574</v>
      </c>
      <c r="H78" s="262" t="s">
        <v>518</v>
      </c>
      <c r="I78" s="262" t="s">
        <v>519</v>
      </c>
      <c r="J78" s="262" t="s">
        <v>519</v>
      </c>
      <c r="K78" s="262" t="s">
        <v>27</v>
      </c>
      <c r="L78" s="262" t="s">
        <v>580</v>
      </c>
      <c r="M78" s="262" t="s">
        <v>503</v>
      </c>
      <c r="N78" s="262" t="s">
        <v>576</v>
      </c>
      <c r="O78" s="262" t="s">
        <v>577</v>
      </c>
      <c r="P78" s="263">
        <v>44166</v>
      </c>
      <c r="Q78" s="264">
        <v>113570</v>
      </c>
      <c r="R78" s="264">
        <v>0</v>
      </c>
      <c r="S78" s="264">
        <v>113570</v>
      </c>
      <c r="T78" s="263">
        <v>44166</v>
      </c>
      <c r="U78" s="263">
        <v>44167</v>
      </c>
      <c r="V78" s="262" t="s">
        <v>587</v>
      </c>
    </row>
  </sheetData>
  <mergeCells count="53">
    <mergeCell ref="H28:H29"/>
    <mergeCell ref="I28:I29"/>
    <mergeCell ref="J28:J29"/>
    <mergeCell ref="K28:K29"/>
    <mergeCell ref="L28:L29"/>
    <mergeCell ref="F9:I9"/>
    <mergeCell ref="F14:I14"/>
    <mergeCell ref="A16:C16"/>
    <mergeCell ref="E22:E23"/>
    <mergeCell ref="A29:D30"/>
    <mergeCell ref="A24:C24"/>
    <mergeCell ref="E24:E25"/>
    <mergeCell ref="F24:F25"/>
    <mergeCell ref="E26:E27"/>
    <mergeCell ref="F26:F27"/>
    <mergeCell ref="A28:C28"/>
    <mergeCell ref="E28:E29"/>
    <mergeCell ref="F28:F29"/>
    <mergeCell ref="E30:E31"/>
    <mergeCell ref="F30:F31"/>
    <mergeCell ref="G28:G29"/>
    <mergeCell ref="F2:I2"/>
    <mergeCell ref="F7:I7"/>
    <mergeCell ref="A1:C1"/>
    <mergeCell ref="M2:P2"/>
    <mergeCell ref="A8:C8"/>
    <mergeCell ref="E32:E33"/>
    <mergeCell ref="F32:F33"/>
    <mergeCell ref="E34:E35"/>
    <mergeCell ref="F34:F35"/>
    <mergeCell ref="F22:F23"/>
    <mergeCell ref="E38:E39"/>
    <mergeCell ref="F38:F39"/>
    <mergeCell ref="E40:E41"/>
    <mergeCell ref="F40:F41"/>
    <mergeCell ref="E42:E43"/>
    <mergeCell ref="F42:F43"/>
    <mergeCell ref="J44:J45"/>
    <mergeCell ref="K44:K45"/>
    <mergeCell ref="L44:L45"/>
    <mergeCell ref="E46:E47"/>
    <mergeCell ref="F46:F47"/>
    <mergeCell ref="E44:E45"/>
    <mergeCell ref="F44:F45"/>
    <mergeCell ref="G44:G45"/>
    <mergeCell ref="H44:H45"/>
    <mergeCell ref="I44:I45"/>
    <mergeCell ref="A69:V69"/>
    <mergeCell ref="E48:E49"/>
    <mergeCell ref="F48:F49"/>
    <mergeCell ref="E50:E51"/>
    <mergeCell ref="F50:F51"/>
    <mergeCell ref="A52:Q52"/>
  </mergeCells>
  <dataValidations count="5">
    <dataValidation type="decimal" allowBlank="1" showInputMessage="1" showErrorMessage="1" errorTitle="Entrada no válida" error="Por favor escriba un número" promptTitle="Escriba un número en esta casilla" sqref="B13:B14 B6:B7">
      <formula1>-9223372036854770000</formula1>
      <formula2>9223372036854770000</formula2>
    </dataValidation>
    <dataValidation type="textLength" allowBlank="1" showInputMessage="1" showErrorMessage="1" errorTitle="Entrada no válida" error="Escriba un texto " promptTitle="Cualquier contenido" sqref="C13:C14 A13:A14 C6:C7 A6:A7 M8:M9">
      <formula1>0</formula1>
      <formula2>4000</formula2>
    </dataValidation>
    <dataValidation type="textLength" allowBlank="1" showInputMessage="1" showErrorMessage="1" errorTitle="Entrada no válida" error="Escriba un texto " promptTitle="Cualquier contenido" prompt=" Escriba el periodo o meses que está reportando. Ej. Enero - Marzo" sqref="A12 A5 M7">
      <formula1>0</formula1>
      <formula2>4000</formula2>
    </dataValidation>
    <dataValidation type="decimal" allowBlank="1" showInputMessage="1" showErrorMessage="1" errorTitle="Entrada no válida" error="Por favor escriba un número" promptTitle="Escriba un número en esta casilla" prompt=" Escriba el numeral correspondiente a las sedes de acuerdo al reporte realizado en el formulario de &quot;Sedes&quot; del informe de &quot;Información Institucional&quot;. Ej. 1,2,3,4." sqref="B12 B5">
      <formula1>-9223372036854770000</formula1>
      <formula2>9223372036854770000</formula2>
    </dataValidation>
    <dataValidation type="textLength" allowBlank="1" showInputMessage="1" showErrorMessage="1" errorTitle="Entrada no válida" error="Escriba un texto " promptTitle="Cualquier contenido" prompt=" Escriba la cantidad de kW/h consumidos en el mes. Ej. 25700 Escriba la cantidad de m3 consumidos en el mes. Ej. 150" sqref="C12 C5">
      <formula1>0</formula1>
      <formula2>4000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18"/>
  <sheetViews>
    <sheetView topLeftCell="B1" workbookViewId="0">
      <selection activeCell="F11" sqref="F11"/>
    </sheetView>
  </sheetViews>
  <sheetFormatPr baseColWidth="10" defaultColWidth="11" defaultRowHeight="15.75"/>
  <cols>
    <col min="1" max="1" width="4" style="38" hidden="1" customWidth="1"/>
    <col min="2" max="2" width="15.140625" style="38" customWidth="1"/>
    <col min="3" max="3" width="20.85546875" style="38" customWidth="1"/>
    <col min="4" max="4" width="18.42578125" style="38" customWidth="1"/>
    <col min="5" max="7" width="11" style="38"/>
    <col min="8" max="8" width="23.42578125" style="38" customWidth="1"/>
    <col min="9" max="9" width="16.140625" style="38" customWidth="1"/>
    <col min="10" max="10" width="11" style="38"/>
    <col min="11" max="11" width="14.42578125" style="38" bestFit="1" customWidth="1"/>
    <col min="12" max="12" width="11.85546875" style="38" bestFit="1" customWidth="1"/>
    <col min="13" max="13" width="14.42578125" style="38" bestFit="1" customWidth="1"/>
    <col min="14" max="16384" width="11" style="38"/>
  </cols>
  <sheetData>
    <row r="1" spans="2:13" ht="26.25" customHeight="1"/>
    <row r="2" spans="2:13">
      <c r="B2" s="332" t="s">
        <v>482</v>
      </c>
      <c r="C2" s="332"/>
      <c r="D2" s="332"/>
      <c r="E2" s="332"/>
      <c r="F2" s="332"/>
      <c r="G2" s="332"/>
      <c r="H2" s="332"/>
      <c r="I2" s="332"/>
    </row>
    <row r="3" spans="2:13" s="64" customFormat="1">
      <c r="B3" s="250"/>
      <c r="C3" s="250"/>
      <c r="D3" s="250"/>
      <c r="E3" s="250"/>
      <c r="F3" s="250"/>
      <c r="G3" s="251"/>
      <c r="H3" s="250"/>
      <c r="I3" s="250"/>
      <c r="J3" s="250"/>
      <c r="K3" s="249"/>
      <c r="L3" s="333"/>
      <c r="M3" s="334"/>
    </row>
    <row r="4" spans="2:13">
      <c r="B4" s="70"/>
      <c r="C4" s="70"/>
      <c r="D4" s="70"/>
      <c r="E4" s="70"/>
      <c r="F4" s="70"/>
      <c r="G4" s="70"/>
      <c r="H4" s="70"/>
      <c r="I4" s="70"/>
      <c r="J4" s="70"/>
      <c r="K4" s="71"/>
      <c r="L4" s="70"/>
      <c r="M4" s="71"/>
    </row>
    <row r="5" spans="2:13" ht="15.75" customHeight="1">
      <c r="B5" s="335" t="s">
        <v>243</v>
      </c>
      <c r="C5" s="336"/>
      <c r="D5" s="337"/>
      <c r="E5" s="70"/>
      <c r="F5" s="70"/>
      <c r="G5" s="70"/>
      <c r="H5" s="70"/>
      <c r="I5" s="70"/>
      <c r="J5" s="70"/>
      <c r="K5" s="71"/>
      <c r="L5" s="70"/>
      <c r="M5" s="71"/>
    </row>
    <row r="6" spans="2:13" ht="18" customHeight="1">
      <c r="B6" s="120" t="s">
        <v>238</v>
      </c>
      <c r="C6" s="121" t="s">
        <v>240</v>
      </c>
      <c r="D6" s="121" t="s">
        <v>242</v>
      </c>
    </row>
    <row r="7" spans="2:13">
      <c r="B7" s="122" t="s">
        <v>34</v>
      </c>
      <c r="C7" s="122">
        <v>12053467264</v>
      </c>
      <c r="D7" s="123">
        <v>1330539</v>
      </c>
    </row>
    <row r="8" spans="2:13">
      <c r="B8" s="122" t="s">
        <v>9</v>
      </c>
      <c r="C8" s="122">
        <v>12053467264</v>
      </c>
      <c r="D8" s="123">
        <v>1330539</v>
      </c>
    </row>
    <row r="9" spans="2:13">
      <c r="B9" s="122" t="s">
        <v>10</v>
      </c>
      <c r="C9" s="122">
        <v>12053467264</v>
      </c>
      <c r="D9" s="123">
        <v>1330539</v>
      </c>
    </row>
    <row r="10" spans="2:13">
      <c r="B10" s="122" t="s">
        <v>126</v>
      </c>
      <c r="C10" s="122">
        <v>12053467264</v>
      </c>
      <c r="D10" s="123">
        <v>1330539</v>
      </c>
    </row>
    <row r="11" spans="2:13">
      <c r="B11" s="122" t="s">
        <v>36</v>
      </c>
      <c r="C11" s="122">
        <v>12053467264</v>
      </c>
      <c r="D11" s="123">
        <v>1330539</v>
      </c>
    </row>
    <row r="12" spans="2:13">
      <c r="B12" s="122" t="s">
        <v>37</v>
      </c>
      <c r="C12" s="122">
        <v>12053467264</v>
      </c>
      <c r="D12" s="123">
        <v>1330539</v>
      </c>
    </row>
    <row r="13" spans="2:13">
      <c r="B13" s="122" t="s">
        <v>38</v>
      </c>
      <c r="C13" s="122">
        <v>12053467264</v>
      </c>
      <c r="D13" s="123">
        <v>1330539</v>
      </c>
    </row>
    <row r="14" spans="2:13">
      <c r="B14" s="122" t="s">
        <v>39</v>
      </c>
      <c r="C14" s="122">
        <v>12053467264</v>
      </c>
      <c r="D14" s="123">
        <v>1330539</v>
      </c>
    </row>
    <row r="15" spans="2:13">
      <c r="B15" s="122" t="s">
        <v>40</v>
      </c>
      <c r="C15" s="122">
        <v>12053467264</v>
      </c>
      <c r="D15" s="123">
        <v>1330539</v>
      </c>
    </row>
    <row r="16" spans="2:13">
      <c r="B16" s="122" t="s">
        <v>41</v>
      </c>
      <c r="C16" s="122">
        <v>12053467264</v>
      </c>
      <c r="D16" s="123">
        <v>1330539</v>
      </c>
    </row>
    <row r="17" spans="2:4">
      <c r="B17" s="122" t="s">
        <v>42</v>
      </c>
      <c r="C17" s="122">
        <v>12053467264</v>
      </c>
      <c r="D17" s="123">
        <v>1330539</v>
      </c>
    </row>
    <row r="18" spans="2:4">
      <c r="B18" s="122" t="s">
        <v>43</v>
      </c>
      <c r="C18" s="122">
        <v>12053467264</v>
      </c>
      <c r="D18" s="123">
        <v>1330539</v>
      </c>
    </row>
  </sheetData>
  <mergeCells count="3">
    <mergeCell ref="B2:I2"/>
    <mergeCell ref="L3:M3"/>
    <mergeCell ref="B5:D5"/>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Y61"/>
  <sheetViews>
    <sheetView topLeftCell="A36" workbookViewId="0">
      <selection activeCell="K54" sqref="K54"/>
    </sheetView>
  </sheetViews>
  <sheetFormatPr baseColWidth="10" defaultRowHeight="15"/>
  <cols>
    <col min="2" max="2" width="15" bestFit="1" customWidth="1"/>
    <col min="3" max="3" width="15.42578125" customWidth="1"/>
    <col min="4" max="4" width="15" customWidth="1"/>
    <col min="6" max="6" width="16.5703125" customWidth="1"/>
    <col min="7" max="7" width="15.7109375" style="33" bestFit="1" customWidth="1"/>
    <col min="8" max="8" width="14.5703125" bestFit="1" customWidth="1"/>
    <col min="9" max="9" width="13" bestFit="1" customWidth="1"/>
    <col min="10" max="10" width="15.5703125" bestFit="1" customWidth="1"/>
    <col min="12" max="12" width="14.140625" customWidth="1"/>
    <col min="13" max="13" width="16.28515625" customWidth="1"/>
    <col min="14" max="14" width="15" customWidth="1"/>
    <col min="15" max="15" width="19.140625" bestFit="1" customWidth="1"/>
    <col min="16" max="16" width="15.85546875" customWidth="1"/>
    <col min="17" max="17" width="13.42578125" customWidth="1"/>
    <col min="18" max="18" width="17.85546875" customWidth="1"/>
    <col min="19" max="19" width="23.5703125" customWidth="1"/>
    <col min="20" max="20" width="16.7109375" customWidth="1"/>
    <col min="21" max="21" width="12.140625" customWidth="1"/>
    <col min="22" max="22" width="19" customWidth="1"/>
  </cols>
  <sheetData>
    <row r="2" spans="1:10">
      <c r="A2" t="s">
        <v>71</v>
      </c>
    </row>
    <row r="3" spans="1:10">
      <c r="A3" t="s">
        <v>72</v>
      </c>
    </row>
    <row r="5" spans="1:10">
      <c r="A5" t="s">
        <v>73</v>
      </c>
      <c r="B5" t="s">
        <v>74</v>
      </c>
      <c r="C5" t="s">
        <v>75</v>
      </c>
      <c r="E5" t="s">
        <v>76</v>
      </c>
      <c r="F5" t="s">
        <v>77</v>
      </c>
      <c r="G5" s="33" t="s">
        <v>78</v>
      </c>
      <c r="H5" t="s">
        <v>79</v>
      </c>
    </row>
    <row r="6" spans="1:10">
      <c r="B6" s="34">
        <v>20175410016382</v>
      </c>
      <c r="C6" s="35">
        <v>42751</v>
      </c>
      <c r="D6" s="35">
        <v>42781</v>
      </c>
      <c r="E6" t="s">
        <v>80</v>
      </c>
      <c r="F6" t="s">
        <v>81</v>
      </c>
      <c r="G6" s="33">
        <v>2815553</v>
      </c>
      <c r="H6">
        <v>4682</v>
      </c>
      <c r="J6" s="36"/>
    </row>
    <row r="7" spans="1:10">
      <c r="B7" s="34">
        <v>20175410028282</v>
      </c>
      <c r="C7" s="35">
        <v>42782</v>
      </c>
      <c r="D7" s="35">
        <v>42809</v>
      </c>
      <c r="E7" t="s">
        <v>80</v>
      </c>
      <c r="F7" t="s">
        <v>81</v>
      </c>
      <c r="G7" s="33">
        <v>2600788</v>
      </c>
      <c r="H7">
        <v>4698</v>
      </c>
      <c r="J7" s="36"/>
    </row>
    <row r="8" spans="1:10">
      <c r="B8" s="34">
        <v>20175410041772</v>
      </c>
      <c r="C8" s="35">
        <v>42810</v>
      </c>
      <c r="D8" s="35">
        <v>42840</v>
      </c>
      <c r="E8" t="s">
        <v>80</v>
      </c>
      <c r="F8" t="s">
        <v>81</v>
      </c>
      <c r="G8" s="33">
        <v>2622963</v>
      </c>
      <c r="H8">
        <v>4712</v>
      </c>
    </row>
    <row r="9" spans="1:10">
      <c r="B9" s="34">
        <v>20175410054862</v>
      </c>
      <c r="C9" s="35">
        <v>42841</v>
      </c>
      <c r="D9" s="35">
        <v>42870</v>
      </c>
      <c r="E9" t="s">
        <v>80</v>
      </c>
      <c r="F9" t="s">
        <v>81</v>
      </c>
      <c r="G9" s="33">
        <v>1879200</v>
      </c>
      <c r="H9">
        <v>4739</v>
      </c>
    </row>
    <row r="10" spans="1:10">
      <c r="B10" s="34">
        <v>20175410088942</v>
      </c>
      <c r="C10" s="35">
        <v>42909</v>
      </c>
      <c r="D10" s="35">
        <v>42938</v>
      </c>
      <c r="E10" t="s">
        <v>80</v>
      </c>
      <c r="F10" t="s">
        <v>81</v>
      </c>
      <c r="G10" s="33">
        <v>506750</v>
      </c>
      <c r="H10">
        <v>4793</v>
      </c>
    </row>
    <row r="11" spans="1:10">
      <c r="B11" s="34">
        <v>20175410098022</v>
      </c>
      <c r="C11" s="35">
        <v>42901</v>
      </c>
      <c r="D11" s="35">
        <v>42930</v>
      </c>
      <c r="E11" t="s">
        <v>80</v>
      </c>
      <c r="F11" t="s">
        <v>81</v>
      </c>
      <c r="G11" s="33">
        <v>506750</v>
      </c>
      <c r="H11">
        <v>4811</v>
      </c>
    </row>
    <row r="12" spans="1:10">
      <c r="B12" s="34">
        <v>20175410101722</v>
      </c>
      <c r="C12" s="35">
        <v>42931</v>
      </c>
      <c r="D12" s="35">
        <v>42961</v>
      </c>
      <c r="E12" t="s">
        <v>80</v>
      </c>
      <c r="F12" t="s">
        <v>81</v>
      </c>
      <c r="G12" s="33">
        <v>508676</v>
      </c>
      <c r="H12">
        <v>4819</v>
      </c>
    </row>
    <row r="13" spans="1:10">
      <c r="B13" s="34">
        <v>20175410118392</v>
      </c>
      <c r="C13" s="35">
        <v>42962</v>
      </c>
      <c r="D13" s="35">
        <v>42992</v>
      </c>
      <c r="E13" t="s">
        <v>80</v>
      </c>
      <c r="F13" t="s">
        <v>81</v>
      </c>
      <c r="G13" s="33">
        <v>527662</v>
      </c>
      <c r="H13">
        <v>4839</v>
      </c>
    </row>
    <row r="14" spans="1:10">
      <c r="B14" s="34">
        <v>20175410129862</v>
      </c>
      <c r="C14" s="35">
        <v>42993</v>
      </c>
      <c r="D14" s="35">
        <v>43022</v>
      </c>
      <c r="E14" t="s">
        <v>80</v>
      </c>
      <c r="F14" t="s">
        <v>82</v>
      </c>
      <c r="G14" s="33">
        <v>506750</v>
      </c>
      <c r="H14">
        <v>4871</v>
      </c>
    </row>
    <row r="15" spans="1:10">
      <c r="B15" s="34">
        <v>20175410144172</v>
      </c>
      <c r="C15" s="35">
        <v>43024</v>
      </c>
      <c r="D15" s="35">
        <v>43054</v>
      </c>
      <c r="E15" t="s">
        <v>80</v>
      </c>
      <c r="F15" t="s">
        <v>82</v>
      </c>
      <c r="G15" s="33">
        <v>506750</v>
      </c>
      <c r="H15">
        <v>4888</v>
      </c>
    </row>
    <row r="16" spans="1:10">
      <c r="B16" s="34">
        <v>20185410002632</v>
      </c>
      <c r="C16" s="35">
        <v>43054</v>
      </c>
      <c r="D16" s="35">
        <v>43083</v>
      </c>
      <c r="E16" t="s">
        <v>80</v>
      </c>
      <c r="F16" t="s">
        <v>82</v>
      </c>
      <c r="G16" s="33">
        <v>506750</v>
      </c>
      <c r="H16">
        <v>4911</v>
      </c>
    </row>
    <row r="17" spans="2:8">
      <c r="B17" s="34">
        <v>20185410013692</v>
      </c>
      <c r="C17" s="35">
        <v>43084</v>
      </c>
      <c r="D17" s="35">
        <v>43114</v>
      </c>
      <c r="E17" t="s">
        <v>80</v>
      </c>
      <c r="F17" t="s">
        <v>82</v>
      </c>
      <c r="G17" s="33">
        <v>506750</v>
      </c>
      <c r="H17">
        <v>4934</v>
      </c>
    </row>
    <row r="18" spans="2:8">
      <c r="B18" s="34">
        <v>20185410027112</v>
      </c>
      <c r="C18" s="35">
        <v>43115</v>
      </c>
      <c r="D18" s="35">
        <v>43145</v>
      </c>
      <c r="E18" t="s">
        <v>80</v>
      </c>
      <c r="F18" t="s">
        <v>82</v>
      </c>
      <c r="G18" s="33">
        <v>1632005</v>
      </c>
      <c r="H18">
        <v>4949</v>
      </c>
    </row>
    <row r="19" spans="2:8">
      <c r="B19" s="34">
        <v>20185410040052</v>
      </c>
      <c r="C19" s="35">
        <v>43146</v>
      </c>
      <c r="D19" s="35">
        <v>43173</v>
      </c>
      <c r="E19" t="s">
        <v>80</v>
      </c>
      <c r="F19" t="s">
        <v>82</v>
      </c>
      <c r="G19" s="33">
        <v>1850051</v>
      </c>
      <c r="H19">
        <v>4967</v>
      </c>
    </row>
    <row r="20" spans="2:8">
      <c r="B20" s="34">
        <v>20185410056332</v>
      </c>
      <c r="C20" s="35">
        <v>43174</v>
      </c>
      <c r="D20" s="35">
        <v>43204</v>
      </c>
      <c r="E20" t="s">
        <v>80</v>
      </c>
      <c r="F20" t="s">
        <v>82</v>
      </c>
      <c r="G20" s="33">
        <v>1729915</v>
      </c>
      <c r="H20">
        <v>4995</v>
      </c>
    </row>
    <row r="21" spans="2:8">
      <c r="B21" s="34">
        <v>20185410070692</v>
      </c>
      <c r="C21" s="35">
        <v>43205</v>
      </c>
      <c r="D21" s="35">
        <v>43234</v>
      </c>
      <c r="E21" t="s">
        <v>80</v>
      </c>
      <c r="F21" t="s">
        <v>82</v>
      </c>
      <c r="G21" s="33">
        <v>917914</v>
      </c>
      <c r="H21">
        <v>5012</v>
      </c>
    </row>
    <row r="22" spans="2:8">
      <c r="B22" s="34">
        <v>20186310086512</v>
      </c>
      <c r="C22" s="35">
        <v>43252</v>
      </c>
      <c r="D22" s="35">
        <v>43265</v>
      </c>
      <c r="E22" t="s">
        <v>80</v>
      </c>
      <c r="F22" t="s">
        <v>82</v>
      </c>
      <c r="G22" s="33">
        <v>1850000</v>
      </c>
      <c r="H22">
        <v>5059</v>
      </c>
    </row>
    <row r="23" spans="2:8">
      <c r="B23" s="34">
        <v>20185410123002</v>
      </c>
      <c r="C23" s="35">
        <v>43306</v>
      </c>
      <c r="D23" s="35">
        <v>43343</v>
      </c>
      <c r="E23" t="s">
        <v>80</v>
      </c>
      <c r="F23" t="s">
        <v>83</v>
      </c>
      <c r="G23" s="33">
        <v>2380171</v>
      </c>
      <c r="H23">
        <v>5079</v>
      </c>
    </row>
    <row r="24" spans="2:8">
      <c r="B24" s="34">
        <v>20185410133502</v>
      </c>
      <c r="C24" s="35">
        <v>43344</v>
      </c>
      <c r="D24" s="35">
        <v>43373</v>
      </c>
      <c r="E24" t="s">
        <v>80</v>
      </c>
      <c r="F24" t="s">
        <v>83</v>
      </c>
      <c r="G24" s="33">
        <v>1511894</v>
      </c>
      <c r="H24">
        <v>5091</v>
      </c>
    </row>
    <row r="25" spans="2:8">
      <c r="B25" s="34">
        <v>20185433333502</v>
      </c>
      <c r="C25" s="35">
        <v>43374</v>
      </c>
      <c r="D25" s="35">
        <v>43404</v>
      </c>
      <c r="E25" t="s">
        <v>80</v>
      </c>
      <c r="F25" t="s">
        <v>83</v>
      </c>
      <c r="G25" s="33">
        <v>1623524</v>
      </c>
      <c r="H25">
        <v>5102</v>
      </c>
    </row>
    <row r="26" spans="2:8">
      <c r="B26" s="34">
        <v>20186110133502</v>
      </c>
      <c r="C26" s="35">
        <v>43405</v>
      </c>
      <c r="D26" s="35">
        <v>43434</v>
      </c>
      <c r="E26" t="s">
        <v>80</v>
      </c>
      <c r="F26" t="s">
        <v>83</v>
      </c>
      <c r="G26" s="33">
        <v>1536289</v>
      </c>
      <c r="H26">
        <v>5123</v>
      </c>
    </row>
    <row r="27" spans="2:8">
      <c r="B27" s="34">
        <v>20185410023502</v>
      </c>
      <c r="C27" s="35">
        <v>43435</v>
      </c>
      <c r="D27" s="35">
        <v>43465</v>
      </c>
      <c r="E27" t="s">
        <v>80</v>
      </c>
      <c r="F27" t="s">
        <v>83</v>
      </c>
      <c r="G27" s="33">
        <v>1589233</v>
      </c>
      <c r="H27">
        <v>5142</v>
      </c>
    </row>
    <row r="28" spans="2:8">
      <c r="B28" s="34"/>
      <c r="C28" s="35"/>
      <c r="D28" s="35"/>
    </row>
    <row r="29" spans="2:8">
      <c r="B29" s="34"/>
      <c r="C29" s="37"/>
    </row>
    <row r="30" spans="2:8">
      <c r="B30" s="34"/>
      <c r="C30" t="s">
        <v>84</v>
      </c>
      <c r="G30" s="33">
        <f>SUM(G6:G15)</f>
        <v>12981842</v>
      </c>
    </row>
    <row r="31" spans="2:8">
      <c r="B31" s="34"/>
      <c r="C31" t="s">
        <v>85</v>
      </c>
      <c r="G31" s="33">
        <f>SUM(G18:G27)</f>
        <v>16620996</v>
      </c>
    </row>
    <row r="32" spans="2:8">
      <c r="B32" s="34"/>
    </row>
    <row r="33" spans="1:17">
      <c r="B33" s="34"/>
      <c r="C33" t="s">
        <v>86</v>
      </c>
      <c r="G33" s="33">
        <f>+G31+G30</f>
        <v>29602838</v>
      </c>
    </row>
    <row r="34" spans="1:17">
      <c r="B34" s="34"/>
    </row>
    <row r="35" spans="1:17">
      <c r="B35" s="34"/>
      <c r="E35" s="24" t="s">
        <v>89</v>
      </c>
      <c r="F35" s="24" t="s">
        <v>34</v>
      </c>
      <c r="G35" s="24" t="s">
        <v>9</v>
      </c>
      <c r="H35" s="24" t="s">
        <v>10</v>
      </c>
      <c r="I35" s="65" t="s">
        <v>126</v>
      </c>
      <c r="J35" s="65" t="s">
        <v>36</v>
      </c>
      <c r="K35" s="65" t="s">
        <v>37</v>
      </c>
    </row>
    <row r="36" spans="1:17" ht="45">
      <c r="B36" s="34"/>
      <c r="C36" s="42"/>
      <c r="D36" s="42"/>
      <c r="E36" s="24" t="s">
        <v>88</v>
      </c>
      <c r="F36" s="27">
        <v>25286</v>
      </c>
      <c r="G36" s="27">
        <v>24944</v>
      </c>
      <c r="H36" s="27">
        <v>27079</v>
      </c>
      <c r="I36" s="66">
        <v>24027</v>
      </c>
      <c r="J36" s="66">
        <v>26211</v>
      </c>
      <c r="K36" s="63" t="s">
        <v>127</v>
      </c>
    </row>
    <row r="37" spans="1:17">
      <c r="B37" s="34"/>
      <c r="C37" s="42"/>
      <c r="D37" s="42"/>
      <c r="F37" s="72" t="s">
        <v>151</v>
      </c>
      <c r="G37" s="72" t="s">
        <v>41</v>
      </c>
      <c r="H37" s="72" t="s">
        <v>42</v>
      </c>
      <c r="I37" s="72" t="s">
        <v>43</v>
      </c>
    </row>
    <row r="38" spans="1:17">
      <c r="C38" s="42"/>
      <c r="D38" s="42"/>
      <c r="F38" s="27">
        <v>23556</v>
      </c>
      <c r="G38" s="27">
        <v>18322</v>
      </c>
      <c r="H38" s="27">
        <v>22175</v>
      </c>
      <c r="I38" s="66">
        <v>20119</v>
      </c>
    </row>
    <row r="39" spans="1:17">
      <c r="F39" s="81">
        <v>1068736</v>
      </c>
      <c r="G39" s="82">
        <v>846815</v>
      </c>
      <c r="H39" s="81">
        <v>1006080</v>
      </c>
      <c r="I39" s="81">
        <v>912799</v>
      </c>
    </row>
    <row r="41" spans="1:17">
      <c r="A41" s="319" t="s">
        <v>528</v>
      </c>
      <c r="B41" s="319"/>
      <c r="C41" s="319"/>
      <c r="D41" s="319"/>
      <c r="E41" s="319"/>
      <c r="F41" s="319"/>
      <c r="G41" s="319"/>
      <c r="H41" s="319"/>
      <c r="I41" s="319"/>
      <c r="J41" s="319"/>
      <c r="K41" s="319"/>
      <c r="L41" s="319"/>
      <c r="M41" s="319"/>
      <c r="N41" s="319"/>
      <c r="O41" s="319"/>
      <c r="P41" s="319"/>
      <c r="Q41" s="319"/>
    </row>
    <row r="42" spans="1:17" ht="30">
      <c r="A42" s="80" t="s">
        <v>485</v>
      </c>
      <c r="B42" s="80" t="s">
        <v>486</v>
      </c>
      <c r="C42" s="80" t="s">
        <v>487</v>
      </c>
      <c r="D42" s="80" t="s">
        <v>488</v>
      </c>
      <c r="E42" s="80" t="s">
        <v>489</v>
      </c>
      <c r="F42" s="80" t="s">
        <v>490</v>
      </c>
      <c r="G42" s="80" t="s">
        <v>491</v>
      </c>
      <c r="H42" s="80" t="s">
        <v>492</v>
      </c>
      <c r="I42" s="80" t="s">
        <v>493</v>
      </c>
      <c r="J42" s="80" t="s">
        <v>494</v>
      </c>
      <c r="K42" s="80" t="s">
        <v>495</v>
      </c>
      <c r="L42" s="80" t="s">
        <v>496</v>
      </c>
      <c r="M42" s="80" t="s">
        <v>497</v>
      </c>
      <c r="N42" s="80" t="s">
        <v>498</v>
      </c>
      <c r="O42" s="80" t="s">
        <v>499</v>
      </c>
      <c r="P42" s="80" t="s">
        <v>78</v>
      </c>
      <c r="Q42" s="80" t="s">
        <v>500</v>
      </c>
    </row>
    <row r="43" spans="1:17">
      <c r="A43" s="53">
        <v>2020</v>
      </c>
      <c r="B43" s="53">
        <v>4</v>
      </c>
      <c r="C43" s="53">
        <v>1</v>
      </c>
      <c r="D43" s="53" t="s">
        <v>501</v>
      </c>
      <c r="E43" s="53">
        <v>0</v>
      </c>
      <c r="F43" s="53">
        <v>232</v>
      </c>
      <c r="G43" s="258">
        <v>43885</v>
      </c>
      <c r="H43" s="258">
        <v>43885</v>
      </c>
      <c r="I43" s="53">
        <v>157</v>
      </c>
      <c r="J43" s="53">
        <v>169</v>
      </c>
      <c r="K43" s="53" t="s">
        <v>502</v>
      </c>
      <c r="L43" s="53">
        <v>3332019</v>
      </c>
      <c r="M43" s="53" t="s">
        <v>503</v>
      </c>
      <c r="N43" s="53">
        <v>830080796</v>
      </c>
      <c r="O43" s="53" t="s">
        <v>504</v>
      </c>
      <c r="P43" s="53" t="s">
        <v>505</v>
      </c>
      <c r="Q43" s="53" t="s">
        <v>505</v>
      </c>
    </row>
    <row r="44" spans="1:17">
      <c r="A44" s="53">
        <v>2020</v>
      </c>
      <c r="B44" s="53">
        <v>4</v>
      </c>
      <c r="C44" s="53">
        <v>1</v>
      </c>
      <c r="D44" s="53" t="s">
        <v>501</v>
      </c>
      <c r="E44" s="53">
        <v>0</v>
      </c>
      <c r="F44" s="53">
        <v>353</v>
      </c>
      <c r="G44" s="258">
        <v>43896</v>
      </c>
      <c r="H44" s="258">
        <v>43896</v>
      </c>
      <c r="I44" s="53">
        <v>157</v>
      </c>
      <c r="J44" s="53">
        <v>169</v>
      </c>
      <c r="K44" s="53" t="s">
        <v>502</v>
      </c>
      <c r="L44" s="53">
        <v>3332019</v>
      </c>
      <c r="M44" s="53" t="s">
        <v>503</v>
      </c>
      <c r="N44" s="53">
        <v>830080796</v>
      </c>
      <c r="O44" s="53" t="s">
        <v>504</v>
      </c>
      <c r="P44" s="53" t="s">
        <v>506</v>
      </c>
      <c r="Q44" s="53" t="s">
        <v>506</v>
      </c>
    </row>
    <row r="45" spans="1:17">
      <c r="A45" s="53">
        <v>2020</v>
      </c>
      <c r="B45" s="53">
        <v>4</v>
      </c>
      <c r="C45" s="53">
        <v>1</v>
      </c>
      <c r="D45" s="53" t="s">
        <v>501</v>
      </c>
      <c r="E45" s="53">
        <v>0</v>
      </c>
      <c r="F45" s="53">
        <v>599</v>
      </c>
      <c r="G45" s="258">
        <v>43916</v>
      </c>
      <c r="H45" s="258">
        <v>43916</v>
      </c>
      <c r="I45" s="53">
        <v>157</v>
      </c>
      <c r="J45" s="53">
        <v>169</v>
      </c>
      <c r="K45" s="53" t="s">
        <v>502</v>
      </c>
      <c r="L45" s="53">
        <v>3332019</v>
      </c>
      <c r="M45" s="53" t="s">
        <v>503</v>
      </c>
      <c r="N45" s="53">
        <v>830080796</v>
      </c>
      <c r="O45" s="53" t="s">
        <v>504</v>
      </c>
      <c r="P45" s="53" t="s">
        <v>507</v>
      </c>
      <c r="Q45" s="53" t="s">
        <v>507</v>
      </c>
    </row>
    <row r="46" spans="1:17">
      <c r="A46" s="53">
        <v>2020</v>
      </c>
      <c r="B46" s="53">
        <v>4</v>
      </c>
      <c r="C46" s="53">
        <v>1</v>
      </c>
      <c r="D46" s="53" t="s">
        <v>501</v>
      </c>
      <c r="E46" s="53">
        <v>0</v>
      </c>
      <c r="F46" s="53">
        <v>1206</v>
      </c>
      <c r="G46" s="258">
        <v>43986</v>
      </c>
      <c r="H46" s="258">
        <v>43986</v>
      </c>
      <c r="I46" s="53">
        <v>157</v>
      </c>
      <c r="J46" s="53">
        <v>169</v>
      </c>
      <c r="K46" s="53" t="s">
        <v>502</v>
      </c>
      <c r="L46" s="53">
        <v>3332019</v>
      </c>
      <c r="M46" s="53" t="s">
        <v>503</v>
      </c>
      <c r="N46" s="53">
        <v>830080796</v>
      </c>
      <c r="O46" s="53" t="s">
        <v>504</v>
      </c>
      <c r="P46" s="53" t="s">
        <v>508</v>
      </c>
      <c r="Q46" s="53" t="s">
        <v>508</v>
      </c>
    </row>
    <row r="47" spans="1:17">
      <c r="A47" s="53">
        <v>2020</v>
      </c>
      <c r="B47" s="53">
        <v>4</v>
      </c>
      <c r="C47" s="53">
        <v>1</v>
      </c>
      <c r="D47" s="53" t="s">
        <v>501</v>
      </c>
      <c r="E47" s="53">
        <v>0</v>
      </c>
      <c r="F47" s="53">
        <v>1210</v>
      </c>
      <c r="G47" s="258">
        <v>43986</v>
      </c>
      <c r="H47" s="258">
        <v>43986</v>
      </c>
      <c r="I47" s="53">
        <v>157</v>
      </c>
      <c r="J47" s="53">
        <v>169</v>
      </c>
      <c r="K47" s="53" t="s">
        <v>502</v>
      </c>
      <c r="L47" s="53">
        <v>3332019</v>
      </c>
      <c r="M47" s="53" t="s">
        <v>503</v>
      </c>
      <c r="N47" s="53">
        <v>830080796</v>
      </c>
      <c r="O47" s="53" t="s">
        <v>504</v>
      </c>
      <c r="P47" s="53" t="s">
        <v>508</v>
      </c>
      <c r="Q47" s="53" t="s">
        <v>508</v>
      </c>
    </row>
    <row r="48" spans="1:17">
      <c r="A48" s="53">
        <v>2020</v>
      </c>
      <c r="B48" s="53">
        <v>4</v>
      </c>
      <c r="C48" s="53">
        <v>1</v>
      </c>
      <c r="D48" s="53" t="s">
        <v>501</v>
      </c>
      <c r="E48" s="53">
        <v>0</v>
      </c>
      <c r="F48" s="53">
        <v>2065</v>
      </c>
      <c r="G48" s="258">
        <v>44066</v>
      </c>
      <c r="H48" s="258">
        <v>44066</v>
      </c>
      <c r="I48" s="53">
        <v>157</v>
      </c>
      <c r="J48" s="53">
        <v>169</v>
      </c>
      <c r="K48" s="53" t="s">
        <v>502</v>
      </c>
      <c r="L48" s="53">
        <v>3332019</v>
      </c>
      <c r="M48" s="53" t="s">
        <v>503</v>
      </c>
      <c r="N48" s="53">
        <v>830080796</v>
      </c>
      <c r="O48" s="53" t="s">
        <v>504</v>
      </c>
      <c r="P48" s="53" t="s">
        <v>509</v>
      </c>
      <c r="Q48" s="53" t="s">
        <v>509</v>
      </c>
    </row>
    <row r="49" spans="1:25">
      <c r="A49" s="53">
        <v>2020</v>
      </c>
      <c r="B49" s="53">
        <v>4</v>
      </c>
      <c r="C49" s="53">
        <v>1</v>
      </c>
      <c r="D49" s="53" t="s">
        <v>501</v>
      </c>
      <c r="E49" s="53">
        <v>0</v>
      </c>
      <c r="F49" s="53">
        <v>2066</v>
      </c>
      <c r="G49" s="258">
        <v>44066</v>
      </c>
      <c r="H49" s="258">
        <v>44066</v>
      </c>
      <c r="I49" s="53">
        <v>157</v>
      </c>
      <c r="J49" s="53">
        <v>169</v>
      </c>
      <c r="K49" s="53" t="s">
        <v>502</v>
      </c>
      <c r="L49" s="53">
        <v>3332019</v>
      </c>
      <c r="M49" s="53" t="s">
        <v>503</v>
      </c>
      <c r="N49" s="53">
        <v>830080796</v>
      </c>
      <c r="O49" s="53" t="s">
        <v>504</v>
      </c>
      <c r="P49" s="53" t="s">
        <v>510</v>
      </c>
      <c r="Q49" s="53" t="s">
        <v>510</v>
      </c>
    </row>
    <row r="50" spans="1:25">
      <c r="A50" s="44"/>
      <c r="B50" s="44"/>
      <c r="C50" s="44"/>
      <c r="D50" s="44"/>
      <c r="E50" s="44"/>
      <c r="F50" s="44"/>
      <c r="G50" s="260"/>
      <c r="H50" s="260"/>
      <c r="I50" s="44"/>
      <c r="J50" s="44"/>
      <c r="K50" s="44"/>
      <c r="L50" s="44"/>
      <c r="M50" s="44"/>
      <c r="N50" s="44"/>
      <c r="O50" s="44"/>
      <c r="P50" s="44"/>
      <c r="Q50" s="44"/>
    </row>
    <row r="51" spans="1:25">
      <c r="A51" s="44"/>
      <c r="B51" s="44"/>
      <c r="C51" s="44"/>
      <c r="D51" s="44"/>
      <c r="E51" s="44"/>
      <c r="F51" s="44"/>
      <c r="G51" s="260"/>
      <c r="H51" s="260"/>
      <c r="I51" s="44"/>
      <c r="J51" s="44"/>
      <c r="K51" s="44"/>
      <c r="L51" s="44"/>
      <c r="M51" s="44"/>
      <c r="N51" s="44"/>
      <c r="O51" s="44"/>
      <c r="P51" s="44"/>
      <c r="Q51" s="44"/>
    </row>
    <row r="53" spans="1:25">
      <c r="B53" s="340" t="s">
        <v>513</v>
      </c>
      <c r="C53" s="341"/>
      <c r="D53" s="65" t="s">
        <v>78</v>
      </c>
      <c r="E53" s="340" t="s">
        <v>514</v>
      </c>
      <c r="F53" s="341"/>
    </row>
    <row r="54" spans="1:25" ht="263.25" customHeight="1">
      <c r="B54" s="338" t="s">
        <v>515</v>
      </c>
      <c r="C54" s="339"/>
      <c r="D54" s="259" t="s">
        <v>511</v>
      </c>
      <c r="E54" s="338" t="s">
        <v>512</v>
      </c>
      <c r="F54" s="339"/>
    </row>
    <row r="55" spans="1:25" ht="21.75" customHeight="1">
      <c r="B55" s="271"/>
      <c r="C55" s="271"/>
      <c r="D55" s="272"/>
      <c r="E55" s="271"/>
      <c r="F55" s="271"/>
    </row>
    <row r="56" spans="1:25">
      <c r="A56" s="319" t="s">
        <v>647</v>
      </c>
      <c r="B56" s="319"/>
      <c r="C56" s="319"/>
      <c r="D56" s="319"/>
      <c r="E56" s="319"/>
      <c r="F56" s="319"/>
      <c r="G56" s="319"/>
      <c r="H56" s="319"/>
      <c r="I56" s="319"/>
      <c r="J56" s="319"/>
      <c r="K56" s="319"/>
      <c r="L56" s="319"/>
      <c r="M56" s="319"/>
      <c r="N56" s="319"/>
      <c r="O56" s="319"/>
      <c r="P56" s="319"/>
      <c r="Q56" s="319"/>
      <c r="R56" s="319"/>
      <c r="S56" s="319"/>
      <c r="T56" s="319"/>
      <c r="U56" s="319"/>
      <c r="V56" s="319"/>
    </row>
    <row r="57" spans="1:25" ht="33" customHeight="1">
      <c r="A57" s="214" t="s">
        <v>529</v>
      </c>
      <c r="B57" s="214" t="s">
        <v>530</v>
      </c>
      <c r="C57" s="214" t="s">
        <v>531</v>
      </c>
      <c r="D57" s="218" t="s">
        <v>532</v>
      </c>
      <c r="E57" s="214" t="s">
        <v>533</v>
      </c>
      <c r="F57" s="218" t="s">
        <v>534</v>
      </c>
      <c r="G57" s="214" t="s">
        <v>535</v>
      </c>
      <c r="H57" s="214" t="s">
        <v>536</v>
      </c>
      <c r="I57" s="214" t="s">
        <v>537</v>
      </c>
      <c r="J57" s="214" t="s">
        <v>538</v>
      </c>
      <c r="K57" s="214" t="s">
        <v>539</v>
      </c>
      <c r="L57" s="214" t="s">
        <v>540</v>
      </c>
      <c r="M57" s="218" t="s">
        <v>541</v>
      </c>
      <c r="N57" s="218" t="s">
        <v>542</v>
      </c>
      <c r="O57" s="214" t="s">
        <v>543</v>
      </c>
      <c r="P57" s="214" t="s">
        <v>544</v>
      </c>
      <c r="Q57" s="214" t="s">
        <v>545</v>
      </c>
      <c r="R57" s="214" t="s">
        <v>546</v>
      </c>
      <c r="S57" s="214" t="s">
        <v>547</v>
      </c>
      <c r="T57" s="214" t="s">
        <v>544</v>
      </c>
      <c r="U57" s="214" t="s">
        <v>548</v>
      </c>
      <c r="V57" s="214" t="s">
        <v>549</v>
      </c>
      <c r="Y57" s="261"/>
    </row>
    <row r="58" spans="1:25">
      <c r="A58" s="53" t="s">
        <v>550</v>
      </c>
      <c r="B58" s="53" t="s">
        <v>551</v>
      </c>
      <c r="C58" s="53" t="s">
        <v>27</v>
      </c>
      <c r="D58" s="53" t="s">
        <v>552</v>
      </c>
      <c r="E58" s="53" t="s">
        <v>474</v>
      </c>
      <c r="F58" s="53" t="s">
        <v>516</v>
      </c>
      <c r="G58" s="53" t="s">
        <v>517</v>
      </c>
      <c r="H58" s="53" t="s">
        <v>518</v>
      </c>
      <c r="I58" s="53" t="s">
        <v>519</v>
      </c>
      <c r="J58" s="53" t="s">
        <v>519</v>
      </c>
      <c r="K58" s="53" t="s">
        <v>27</v>
      </c>
      <c r="L58" s="53" t="s">
        <v>520</v>
      </c>
      <c r="M58" s="53" t="s">
        <v>503</v>
      </c>
      <c r="N58" s="53" t="s">
        <v>521</v>
      </c>
      <c r="O58" s="53" t="s">
        <v>504</v>
      </c>
      <c r="P58" s="265">
        <v>44130</v>
      </c>
      <c r="Q58" s="266">
        <v>1286547</v>
      </c>
      <c r="R58" s="266">
        <v>84501</v>
      </c>
      <c r="S58" s="266">
        <v>1202046</v>
      </c>
      <c r="T58" s="265">
        <v>44130</v>
      </c>
      <c r="U58" s="265">
        <v>44130</v>
      </c>
      <c r="V58" s="53" t="s">
        <v>522</v>
      </c>
    </row>
    <row r="59" spans="1:25">
      <c r="A59" s="53" t="s">
        <v>550</v>
      </c>
      <c r="B59" s="53" t="s">
        <v>551</v>
      </c>
      <c r="C59" s="53" t="s">
        <v>27</v>
      </c>
      <c r="D59" s="53" t="s">
        <v>552</v>
      </c>
      <c r="E59" s="53" t="s">
        <v>474</v>
      </c>
      <c r="F59" s="53" t="s">
        <v>516</v>
      </c>
      <c r="G59" s="53" t="s">
        <v>517</v>
      </c>
      <c r="H59" s="53" t="s">
        <v>518</v>
      </c>
      <c r="I59" s="53" t="s">
        <v>519</v>
      </c>
      <c r="J59" s="53" t="s">
        <v>519</v>
      </c>
      <c r="K59" s="53" t="s">
        <v>27</v>
      </c>
      <c r="L59" s="53" t="s">
        <v>523</v>
      </c>
      <c r="M59" s="53" t="s">
        <v>503</v>
      </c>
      <c r="N59" s="53" t="s">
        <v>521</v>
      </c>
      <c r="O59" s="53" t="s">
        <v>504</v>
      </c>
      <c r="P59" s="265">
        <v>44160</v>
      </c>
      <c r="Q59" s="266">
        <v>512122</v>
      </c>
      <c r="R59" s="266">
        <v>33636</v>
      </c>
      <c r="S59" s="266">
        <v>478486</v>
      </c>
      <c r="T59" s="265">
        <v>44160</v>
      </c>
      <c r="U59" s="265">
        <v>44161</v>
      </c>
      <c r="V59" s="53" t="s">
        <v>524</v>
      </c>
    </row>
    <row r="60" spans="1:25">
      <c r="A60" s="53" t="s">
        <v>550</v>
      </c>
      <c r="B60" s="53" t="s">
        <v>551</v>
      </c>
      <c r="C60" s="53" t="s">
        <v>27</v>
      </c>
      <c r="D60" s="53" t="s">
        <v>552</v>
      </c>
      <c r="E60" s="53" t="s">
        <v>474</v>
      </c>
      <c r="F60" s="53" t="s">
        <v>516</v>
      </c>
      <c r="G60" s="53" t="s">
        <v>517</v>
      </c>
      <c r="H60" s="53" t="s">
        <v>518</v>
      </c>
      <c r="I60" s="53" t="s">
        <v>519</v>
      </c>
      <c r="J60" s="53" t="s">
        <v>519</v>
      </c>
      <c r="K60" s="53" t="s">
        <v>27</v>
      </c>
      <c r="L60" s="53" t="s">
        <v>523</v>
      </c>
      <c r="M60" s="53" t="s">
        <v>503</v>
      </c>
      <c r="N60" s="53" t="s">
        <v>521</v>
      </c>
      <c r="O60" s="53" t="s">
        <v>504</v>
      </c>
      <c r="P60" s="265">
        <v>44160</v>
      </c>
      <c r="Q60" s="266">
        <v>787901</v>
      </c>
      <c r="R60" s="266">
        <v>51750</v>
      </c>
      <c r="S60" s="266">
        <v>736151</v>
      </c>
      <c r="T60" s="265">
        <v>44160</v>
      </c>
      <c r="U60" s="265">
        <v>44161</v>
      </c>
      <c r="V60" s="53" t="s">
        <v>525</v>
      </c>
    </row>
    <row r="61" spans="1:25">
      <c r="A61" s="53" t="s">
        <v>550</v>
      </c>
      <c r="B61" s="53" t="s">
        <v>551</v>
      </c>
      <c r="C61" s="53" t="s">
        <v>27</v>
      </c>
      <c r="D61" s="53" t="s">
        <v>552</v>
      </c>
      <c r="E61" s="53" t="s">
        <v>474</v>
      </c>
      <c r="F61" s="53" t="s">
        <v>516</v>
      </c>
      <c r="G61" s="53" t="s">
        <v>517</v>
      </c>
      <c r="H61" s="53" t="s">
        <v>518</v>
      </c>
      <c r="I61" s="53" t="s">
        <v>519</v>
      </c>
      <c r="J61" s="53" t="s">
        <v>519</v>
      </c>
      <c r="K61" s="53" t="s">
        <v>27</v>
      </c>
      <c r="L61" s="53" t="s">
        <v>526</v>
      </c>
      <c r="M61" s="53" t="s">
        <v>503</v>
      </c>
      <c r="N61" s="53" t="s">
        <v>521</v>
      </c>
      <c r="O61" s="53" t="s">
        <v>504</v>
      </c>
      <c r="P61" s="265">
        <v>44182</v>
      </c>
      <c r="Q61" s="266">
        <v>1558201</v>
      </c>
      <c r="R61" s="266">
        <v>102344</v>
      </c>
      <c r="S61" s="266">
        <v>1455857</v>
      </c>
      <c r="T61" s="265">
        <v>44182</v>
      </c>
      <c r="U61" s="265">
        <v>44183</v>
      </c>
      <c r="V61" s="53" t="s">
        <v>527</v>
      </c>
    </row>
  </sheetData>
  <mergeCells count="6">
    <mergeCell ref="A41:Q41"/>
    <mergeCell ref="A56:V56"/>
    <mergeCell ref="B54:C54"/>
    <mergeCell ref="B53:C53"/>
    <mergeCell ref="E53:F53"/>
    <mergeCell ref="E54:F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topLeftCell="A48" workbookViewId="0">
      <selection activeCell="A75" sqref="A75:V75"/>
    </sheetView>
  </sheetViews>
  <sheetFormatPr baseColWidth="10" defaultRowHeight="15"/>
  <cols>
    <col min="5" max="5" width="12.7109375" bestFit="1" customWidth="1"/>
    <col min="6" max="6" width="17.5703125" customWidth="1"/>
    <col min="7" max="7" width="17" customWidth="1"/>
    <col min="8" max="8" width="16.42578125" customWidth="1"/>
    <col min="9" max="9" width="20.5703125" customWidth="1"/>
    <col min="11" max="14" width="19.140625" customWidth="1"/>
    <col min="15" max="15" width="21.7109375" customWidth="1"/>
    <col min="16" max="16" width="17.28515625" style="7" customWidth="1"/>
    <col min="17" max="17" width="19.28515625" customWidth="1"/>
    <col min="18" max="18" width="19.28515625" style="23" customWidth="1"/>
  </cols>
  <sheetData>
    <row r="1" spans="1:19">
      <c r="K1" s="353" t="s">
        <v>132</v>
      </c>
      <c r="L1" s="353"/>
      <c r="M1" s="353"/>
      <c r="N1" s="353"/>
      <c r="O1" s="353"/>
      <c r="P1" s="353"/>
      <c r="Q1" s="353"/>
      <c r="R1" s="287"/>
    </row>
    <row r="2" spans="1:19" ht="15.75" thickBot="1">
      <c r="A2" s="349" t="s">
        <v>28</v>
      </c>
      <c r="B2" s="349"/>
      <c r="C2" s="349"/>
      <c r="K2" s="346" t="s">
        <v>66</v>
      </c>
      <c r="L2" s="348" t="s">
        <v>95</v>
      </c>
      <c r="M2" s="40" t="s">
        <v>4</v>
      </c>
      <c r="N2" s="31">
        <v>282</v>
      </c>
      <c r="O2" s="28"/>
      <c r="P2" s="50" t="s">
        <v>35</v>
      </c>
      <c r="Q2" s="53">
        <v>162</v>
      </c>
      <c r="R2" s="42"/>
      <c r="S2" s="42"/>
    </row>
    <row r="3" spans="1:19" ht="15.75" thickBot="1">
      <c r="A3" s="15" t="s">
        <v>15</v>
      </c>
      <c r="B3" s="15">
        <v>3</v>
      </c>
      <c r="C3" s="15">
        <v>9122</v>
      </c>
      <c r="K3" s="347"/>
      <c r="L3" s="348"/>
      <c r="M3" s="40" t="s">
        <v>9</v>
      </c>
      <c r="N3" s="7">
        <v>237</v>
      </c>
      <c r="O3" s="28"/>
      <c r="P3" s="50" t="s">
        <v>36</v>
      </c>
      <c r="Q3" s="53">
        <v>186</v>
      </c>
      <c r="R3" s="45"/>
      <c r="S3" s="42"/>
    </row>
    <row r="4" spans="1:19" ht="15.75" thickBot="1">
      <c r="A4" s="15" t="s">
        <v>16</v>
      </c>
      <c r="B4" s="15">
        <v>3</v>
      </c>
      <c r="C4" s="15">
        <v>8419</v>
      </c>
      <c r="K4" s="327"/>
      <c r="L4" s="348"/>
      <c r="M4" s="40" t="s">
        <v>10</v>
      </c>
      <c r="N4" s="31">
        <v>196</v>
      </c>
      <c r="O4" s="28"/>
      <c r="P4" s="50" t="s">
        <v>37</v>
      </c>
      <c r="Q4" s="53">
        <v>189</v>
      </c>
      <c r="R4" s="45"/>
      <c r="S4" s="42"/>
    </row>
    <row r="5" spans="1:19" ht="15.75" thickBot="1">
      <c r="A5" s="15" t="s">
        <v>17</v>
      </c>
      <c r="B5" s="15">
        <v>3</v>
      </c>
      <c r="C5" s="15">
        <v>7768</v>
      </c>
      <c r="K5" s="346" t="s">
        <v>67</v>
      </c>
      <c r="L5" s="348" t="s">
        <v>91</v>
      </c>
      <c r="M5" s="40" t="s">
        <v>4</v>
      </c>
      <c r="N5" s="31"/>
      <c r="O5" s="41"/>
      <c r="P5" s="50" t="s">
        <v>35</v>
      </c>
      <c r="Q5" s="53"/>
      <c r="R5" s="45"/>
      <c r="S5" s="42"/>
    </row>
    <row r="6" spans="1:19" ht="15.75" thickBot="1">
      <c r="A6" s="15" t="s">
        <v>18</v>
      </c>
      <c r="B6" s="15">
        <v>3</v>
      </c>
      <c r="C6" s="15">
        <v>8392</v>
      </c>
      <c r="K6" s="347"/>
      <c r="L6" s="348"/>
      <c r="M6" s="40" t="s">
        <v>9</v>
      </c>
      <c r="N6" s="31"/>
      <c r="O6" s="41"/>
      <c r="P6" s="50" t="s">
        <v>36</v>
      </c>
      <c r="Q6" s="53"/>
      <c r="R6" s="45"/>
      <c r="S6" s="42"/>
    </row>
    <row r="7" spans="1:19" ht="15.75" thickBot="1">
      <c r="A7" s="15" t="s">
        <v>19</v>
      </c>
      <c r="B7" s="15">
        <v>3</v>
      </c>
      <c r="C7" s="15">
        <v>8497</v>
      </c>
      <c r="K7" s="327"/>
      <c r="L7" s="348"/>
      <c r="M7" s="40" t="s">
        <v>10</v>
      </c>
      <c r="N7" s="31"/>
      <c r="O7" s="41"/>
      <c r="P7" s="50" t="s">
        <v>37</v>
      </c>
      <c r="Q7" s="53"/>
      <c r="R7" s="45"/>
      <c r="S7" s="42"/>
    </row>
    <row r="8" spans="1:19" ht="15.75" thickBot="1">
      <c r="A8" s="15" t="s">
        <v>20</v>
      </c>
      <c r="B8" s="15">
        <v>3</v>
      </c>
      <c r="C8" s="15">
        <v>8941</v>
      </c>
      <c r="K8" s="346" t="s">
        <v>68</v>
      </c>
      <c r="L8" s="348" t="s">
        <v>96</v>
      </c>
      <c r="M8" s="40" t="s">
        <v>4</v>
      </c>
      <c r="N8" s="27">
        <f>961+8303</f>
        <v>9264</v>
      </c>
      <c r="O8" s="41"/>
      <c r="P8" s="50" t="s">
        <v>35</v>
      </c>
      <c r="Q8" s="53">
        <f>7441+860</f>
        <v>8301</v>
      </c>
      <c r="R8" s="45"/>
      <c r="S8" s="42"/>
    </row>
    <row r="9" spans="1:19" ht="15.75" thickBot="1">
      <c r="A9" s="15" t="s">
        <v>21</v>
      </c>
      <c r="B9" s="15">
        <v>3</v>
      </c>
      <c r="C9" s="15">
        <v>7246</v>
      </c>
      <c r="K9" s="347"/>
      <c r="L9" s="348"/>
      <c r="M9" s="40" t="s">
        <v>9</v>
      </c>
      <c r="N9" s="31">
        <f>8456+983</f>
        <v>9439</v>
      </c>
      <c r="O9" s="41"/>
      <c r="P9" s="50" t="s">
        <v>36</v>
      </c>
      <c r="Q9" s="53">
        <f>1035+8128</f>
        <v>9163</v>
      </c>
      <c r="R9" s="45"/>
      <c r="S9" s="42"/>
    </row>
    <row r="10" spans="1:19" ht="15.75" thickBot="1">
      <c r="A10" s="15" t="s">
        <v>22</v>
      </c>
      <c r="B10" s="15">
        <v>3</v>
      </c>
      <c r="C10" s="15">
        <v>8732</v>
      </c>
      <c r="K10" s="327"/>
      <c r="L10" s="348"/>
      <c r="M10" s="40" t="s">
        <v>10</v>
      </c>
      <c r="N10" s="27">
        <f>7883+930</f>
        <v>8813</v>
      </c>
      <c r="O10" s="41"/>
      <c r="P10" s="50" t="s">
        <v>37</v>
      </c>
      <c r="Q10" s="53">
        <f>7843+973</f>
        <v>8816</v>
      </c>
      <c r="R10" s="45"/>
      <c r="S10" s="42"/>
    </row>
    <row r="11" spans="1:19" ht="15.75" thickBot="1">
      <c r="A11" s="15" t="s">
        <v>23</v>
      </c>
      <c r="B11" s="15">
        <v>3</v>
      </c>
      <c r="C11" s="15">
        <v>8527</v>
      </c>
      <c r="K11" s="346" t="s">
        <v>66</v>
      </c>
      <c r="L11" s="348" t="s">
        <v>95</v>
      </c>
      <c r="M11" s="40" t="s">
        <v>38</v>
      </c>
      <c r="N11" s="103">
        <v>69</v>
      </c>
      <c r="P11" s="50" t="s">
        <v>41</v>
      </c>
      <c r="Q11" s="103">
        <v>332</v>
      </c>
    </row>
    <row r="12" spans="1:19" ht="15.75" thickBot="1">
      <c r="A12" s="15" t="s">
        <v>24</v>
      </c>
      <c r="B12" s="15">
        <v>3</v>
      </c>
      <c r="C12" s="15">
        <v>8562</v>
      </c>
      <c r="K12" s="347"/>
      <c r="L12" s="348"/>
      <c r="M12" s="40" t="s">
        <v>39</v>
      </c>
      <c r="N12" s="103">
        <v>217</v>
      </c>
      <c r="P12" s="50" t="s">
        <v>42</v>
      </c>
      <c r="Q12" s="103">
        <v>303</v>
      </c>
    </row>
    <row r="13" spans="1:19" ht="15.75" thickBot="1">
      <c r="A13" s="15" t="s">
        <v>25</v>
      </c>
      <c r="B13" s="15">
        <v>3</v>
      </c>
      <c r="C13" s="15">
        <v>7839</v>
      </c>
      <c r="K13" s="327"/>
      <c r="L13" s="348"/>
      <c r="M13" s="40" t="s">
        <v>40</v>
      </c>
      <c r="N13" s="103">
        <v>203</v>
      </c>
      <c r="P13" s="50" t="s">
        <v>43</v>
      </c>
      <c r="Q13" s="103"/>
    </row>
    <row r="14" spans="1:19" ht="15.75" thickBot="1">
      <c r="A14" s="15" t="s">
        <v>26</v>
      </c>
      <c r="B14" s="19">
        <v>3</v>
      </c>
      <c r="C14" s="19">
        <v>7601</v>
      </c>
      <c r="K14" s="346" t="s">
        <v>67</v>
      </c>
      <c r="L14" s="348" t="s">
        <v>91</v>
      </c>
      <c r="M14" s="40" t="s">
        <v>38</v>
      </c>
      <c r="N14" s="103">
        <v>41</v>
      </c>
      <c r="P14" s="50" t="s">
        <v>41</v>
      </c>
      <c r="Q14" s="103"/>
    </row>
    <row r="15" spans="1:19" ht="15.75" thickBot="1">
      <c r="A15" s="18" t="s">
        <v>27</v>
      </c>
      <c r="B15" s="20"/>
      <c r="C15" s="21">
        <f>SUM(C3:C14)</f>
        <v>99646</v>
      </c>
      <c r="K15" s="347"/>
      <c r="L15" s="348"/>
      <c r="M15" s="40" t="s">
        <v>39</v>
      </c>
      <c r="N15" s="103">
        <v>409</v>
      </c>
      <c r="P15" s="50" t="s">
        <v>42</v>
      </c>
      <c r="Q15" s="103"/>
    </row>
    <row r="16" spans="1:19" ht="15.75" thickBot="1">
      <c r="A16" s="349" t="s">
        <v>44</v>
      </c>
      <c r="B16" s="349"/>
      <c r="C16" s="349"/>
      <c r="K16" s="327"/>
      <c r="L16" s="348"/>
      <c r="M16" s="40" t="s">
        <v>40</v>
      </c>
      <c r="N16" s="103"/>
      <c r="P16" s="50" t="s">
        <v>43</v>
      </c>
      <c r="Q16" s="103"/>
    </row>
    <row r="17" spans="1:21" ht="15.75" thickBot="1">
      <c r="A17" s="30" t="s">
        <v>4</v>
      </c>
      <c r="B17" s="15">
        <v>3</v>
      </c>
      <c r="C17" s="15">
        <f>197+271+13+7083</f>
        <v>7564</v>
      </c>
      <c r="D17">
        <v>8248</v>
      </c>
      <c r="E17">
        <f>D17-C17</f>
        <v>684</v>
      </c>
      <c r="F17" s="351" t="s">
        <v>69</v>
      </c>
      <c r="G17" s="351"/>
      <c r="H17" s="351"/>
      <c r="I17" s="351"/>
      <c r="K17" s="346" t="s">
        <v>68</v>
      </c>
      <c r="L17" s="348" t="s">
        <v>96</v>
      </c>
      <c r="M17" s="40" t="s">
        <v>38</v>
      </c>
      <c r="N17" s="103">
        <f>7936+956</f>
        <v>8892</v>
      </c>
      <c r="P17" s="50" t="s">
        <v>41</v>
      </c>
      <c r="Q17" s="103">
        <f>6944+917</f>
        <v>7861</v>
      </c>
    </row>
    <row r="18" spans="1:21" ht="15.75" thickBot="1">
      <c r="A18" s="30" t="s">
        <v>9</v>
      </c>
      <c r="B18" s="15">
        <v>3</v>
      </c>
      <c r="C18" s="15">
        <f>179+273+20+8034</f>
        <v>8506</v>
      </c>
      <c r="D18">
        <v>7242</v>
      </c>
      <c r="E18">
        <f t="shared" ref="E18:E22" si="0">D18-C18</f>
        <v>-1264</v>
      </c>
      <c r="F18" s="32" t="s">
        <v>65</v>
      </c>
      <c r="G18" s="32" t="s">
        <v>66</v>
      </c>
      <c r="H18" s="32" t="s">
        <v>67</v>
      </c>
      <c r="I18" s="32" t="s">
        <v>68</v>
      </c>
      <c r="K18" s="347"/>
      <c r="L18" s="348"/>
      <c r="M18" s="40" t="s">
        <v>39</v>
      </c>
      <c r="N18" s="103">
        <f>8339+863</f>
        <v>9202</v>
      </c>
      <c r="P18" s="50" t="s">
        <v>42</v>
      </c>
      <c r="Q18" s="103">
        <f>7583+976</f>
        <v>8559</v>
      </c>
    </row>
    <row r="19" spans="1:21" ht="15.75" thickBot="1">
      <c r="A19" s="30" t="s">
        <v>10</v>
      </c>
      <c r="B19" s="15">
        <v>3</v>
      </c>
      <c r="C19" s="15">
        <f>191+249+104+7477</f>
        <v>8021</v>
      </c>
      <c r="D19">
        <v>8368</v>
      </c>
      <c r="E19">
        <f t="shared" si="0"/>
        <v>347</v>
      </c>
      <c r="F19" s="105" t="s">
        <v>90</v>
      </c>
      <c r="G19" s="53" t="s">
        <v>95</v>
      </c>
      <c r="H19" s="53" t="s">
        <v>91</v>
      </c>
      <c r="I19" s="53" t="s">
        <v>96</v>
      </c>
      <c r="K19" s="327"/>
      <c r="L19" s="348"/>
      <c r="M19" s="40" t="s">
        <v>40</v>
      </c>
      <c r="N19" s="103">
        <f>7828+814</f>
        <v>8642</v>
      </c>
      <c r="P19" s="50" t="s">
        <v>43</v>
      </c>
      <c r="Q19" s="103"/>
    </row>
    <row r="20" spans="1:21" ht="15.75" thickBot="1">
      <c r="A20" s="30" t="s">
        <v>35</v>
      </c>
      <c r="B20" s="15">
        <v>3</v>
      </c>
      <c r="C20" s="15">
        <f>217+278+75+8311</f>
        <v>8881</v>
      </c>
      <c r="D20">
        <v>8405</v>
      </c>
      <c r="E20">
        <f t="shared" si="0"/>
        <v>-476</v>
      </c>
      <c r="F20" s="39" t="s">
        <v>38</v>
      </c>
      <c r="G20" s="31">
        <v>190</v>
      </c>
      <c r="H20" s="31">
        <v>229</v>
      </c>
      <c r="I20" s="31">
        <v>8403</v>
      </c>
      <c r="K20" s="30"/>
      <c r="L20" s="44"/>
      <c r="M20" s="44"/>
      <c r="N20" s="44"/>
      <c r="O20" s="30"/>
      <c r="P20" s="45"/>
    </row>
    <row r="21" spans="1:21" ht="15.75" thickBot="1">
      <c r="A21" s="30" t="s">
        <v>36</v>
      </c>
      <c r="B21" s="15">
        <v>3</v>
      </c>
      <c r="C21" s="15">
        <f>190+204+8+7844</f>
        <v>8246</v>
      </c>
      <c r="D21">
        <v>7727</v>
      </c>
      <c r="E21">
        <f t="shared" si="0"/>
        <v>-519</v>
      </c>
      <c r="F21" s="39" t="s">
        <v>39</v>
      </c>
      <c r="G21" s="31">
        <v>225</v>
      </c>
      <c r="H21" s="31">
        <v>199</v>
      </c>
      <c r="I21" s="31">
        <v>8474</v>
      </c>
      <c r="K21" s="30"/>
      <c r="L21" s="44"/>
      <c r="M21" s="44"/>
      <c r="N21" s="44"/>
      <c r="O21" s="30"/>
      <c r="P21" s="45"/>
    </row>
    <row r="22" spans="1:21" ht="15.75" thickBot="1">
      <c r="A22" s="30" t="s">
        <v>37</v>
      </c>
      <c r="B22" s="15">
        <v>3</v>
      </c>
      <c r="C22" s="15">
        <f>229+172+21+8111</f>
        <v>8533</v>
      </c>
      <c r="D22">
        <v>8301</v>
      </c>
      <c r="E22">
        <f t="shared" si="0"/>
        <v>-232</v>
      </c>
      <c r="F22" s="39" t="s">
        <v>40</v>
      </c>
      <c r="G22" s="31">
        <v>260</v>
      </c>
      <c r="H22" s="31">
        <v>191</v>
      </c>
      <c r="I22" s="31">
        <v>8040</v>
      </c>
      <c r="K22" s="30"/>
      <c r="L22" s="44"/>
      <c r="M22" s="44"/>
      <c r="N22" s="44"/>
      <c r="O22" s="30"/>
      <c r="P22" s="45"/>
    </row>
    <row r="23" spans="1:21" ht="15.75" thickBot="1">
      <c r="A23" s="30" t="s">
        <v>38</v>
      </c>
      <c r="B23" s="15">
        <v>3</v>
      </c>
      <c r="C23" s="15">
        <v>8822</v>
      </c>
      <c r="D23">
        <f>SUM(D17:D22)</f>
        <v>48291</v>
      </c>
      <c r="E23">
        <f>SUM(E17:E22)</f>
        <v>-1460</v>
      </c>
      <c r="F23" s="39" t="s">
        <v>41</v>
      </c>
      <c r="G23" s="31">
        <v>224</v>
      </c>
      <c r="H23" s="31">
        <v>174</v>
      </c>
      <c r="I23" s="31">
        <v>8113</v>
      </c>
      <c r="K23" s="345" t="s">
        <v>94</v>
      </c>
      <c r="L23" s="345"/>
      <c r="M23" s="345"/>
      <c r="N23" s="345"/>
      <c r="O23" s="345"/>
      <c r="P23" s="345" t="s">
        <v>97</v>
      </c>
      <c r="Q23" s="345"/>
      <c r="R23" s="345"/>
    </row>
    <row r="24" spans="1:21" ht="15.75" thickBot="1">
      <c r="A24" s="30" t="s">
        <v>39</v>
      </c>
      <c r="B24" s="15">
        <v>3</v>
      </c>
      <c r="C24" s="15">
        <v>8898</v>
      </c>
      <c r="D24">
        <f>SUM(C17:C22)</f>
        <v>49751</v>
      </c>
      <c r="E24">
        <f>E23/D24</f>
        <v>-2.9346143796104601E-2</v>
      </c>
      <c r="F24" s="39" t="s">
        <v>42</v>
      </c>
      <c r="G24" s="31">
        <v>227</v>
      </c>
      <c r="H24" s="31">
        <v>178</v>
      </c>
      <c r="I24" s="31">
        <v>7355</v>
      </c>
      <c r="K24" s="1"/>
      <c r="L24" s="24" t="s">
        <v>90</v>
      </c>
      <c r="M24" s="24" t="s">
        <v>65</v>
      </c>
      <c r="N24" s="24" t="s">
        <v>93</v>
      </c>
      <c r="O24" s="24" t="s">
        <v>92</v>
      </c>
      <c r="P24" s="49" t="s">
        <v>65</v>
      </c>
      <c r="Q24" s="49" t="s">
        <v>93</v>
      </c>
      <c r="R24" s="77" t="s">
        <v>92</v>
      </c>
    </row>
    <row r="25" spans="1:21" ht="15.75" thickBot="1">
      <c r="A25" s="30" t="s">
        <v>40</v>
      </c>
      <c r="B25" s="15">
        <v>3</v>
      </c>
      <c r="C25" s="15">
        <v>8491</v>
      </c>
      <c r="F25" s="39" t="s">
        <v>43</v>
      </c>
      <c r="G25" s="31">
        <v>206</v>
      </c>
      <c r="H25" s="31">
        <v>155</v>
      </c>
      <c r="I25" s="31">
        <v>7943</v>
      </c>
      <c r="K25" s="346" t="s">
        <v>66</v>
      </c>
      <c r="L25" s="348" t="s">
        <v>95</v>
      </c>
      <c r="M25" s="40" t="s">
        <v>4</v>
      </c>
      <c r="N25" s="31">
        <v>167</v>
      </c>
      <c r="O25" s="28">
        <v>102680</v>
      </c>
      <c r="P25" s="50" t="s">
        <v>35</v>
      </c>
      <c r="Q25" s="31">
        <v>216</v>
      </c>
      <c r="R25" s="28">
        <v>136910</v>
      </c>
      <c r="S25" t="s">
        <v>133</v>
      </c>
      <c r="T25">
        <f>N25+N28+N31</f>
        <v>8248</v>
      </c>
      <c r="U25" s="23">
        <f>O25+O28+O31</f>
        <v>3574950</v>
      </c>
    </row>
    <row r="26" spans="1:21" ht="15.75" thickBot="1">
      <c r="A26" s="30"/>
      <c r="B26" s="15"/>
      <c r="C26" s="15"/>
      <c r="F26" s="43"/>
      <c r="G26" s="44"/>
      <c r="H26" s="44"/>
      <c r="I26" s="44"/>
      <c r="K26" s="347"/>
      <c r="L26" s="348"/>
      <c r="M26" s="40" t="s">
        <v>9</v>
      </c>
      <c r="N26" s="31">
        <v>160</v>
      </c>
      <c r="O26" s="28">
        <v>99650</v>
      </c>
      <c r="P26" s="50" t="s">
        <v>36</v>
      </c>
      <c r="Q26" s="31">
        <v>169</v>
      </c>
      <c r="R26" s="28">
        <v>102690</v>
      </c>
      <c r="T26">
        <f t="shared" ref="T26:T27" si="1">N26+N29+N32</f>
        <v>7242</v>
      </c>
      <c r="U26" s="23">
        <f t="shared" ref="U26:U27" si="2">O26+O29+O32</f>
        <v>8637620</v>
      </c>
    </row>
    <row r="27" spans="1:21" ht="15.75" thickBot="1">
      <c r="A27" s="30" t="s">
        <v>41</v>
      </c>
      <c r="B27" s="15">
        <v>3</v>
      </c>
      <c r="C27" s="15">
        <v>8511</v>
      </c>
      <c r="K27" s="327"/>
      <c r="L27" s="348"/>
      <c r="M27" s="40" t="s">
        <v>10</v>
      </c>
      <c r="N27" s="31">
        <v>169</v>
      </c>
      <c r="O27" s="28">
        <v>107840</v>
      </c>
      <c r="P27" s="50" t="s">
        <v>37</v>
      </c>
      <c r="Q27" s="31">
        <v>169</v>
      </c>
      <c r="R27" s="28">
        <v>101850</v>
      </c>
      <c r="T27">
        <f t="shared" si="1"/>
        <v>8368</v>
      </c>
      <c r="U27" s="23">
        <f t="shared" si="2"/>
        <v>4376130</v>
      </c>
    </row>
    <row r="28" spans="1:21" ht="15.75" thickBot="1">
      <c r="A28" s="30" t="s">
        <v>42</v>
      </c>
      <c r="B28" s="15">
        <v>3</v>
      </c>
      <c r="C28" s="15">
        <v>7760</v>
      </c>
      <c r="K28" s="346" t="s">
        <v>67</v>
      </c>
      <c r="L28" s="348" t="s">
        <v>91</v>
      </c>
      <c r="M28" s="40" t="s">
        <v>4</v>
      </c>
      <c r="N28" s="31">
        <v>187</v>
      </c>
      <c r="O28" s="41"/>
      <c r="P28" s="50" t="s">
        <v>35</v>
      </c>
      <c r="Q28" s="31">
        <v>180</v>
      </c>
      <c r="R28" s="41">
        <v>85360</v>
      </c>
      <c r="T28">
        <f>Q25+Q28+Q31</f>
        <v>8405</v>
      </c>
      <c r="U28" s="23">
        <f>R25+R28+R31</f>
        <v>4481110</v>
      </c>
    </row>
    <row r="29" spans="1:21" ht="15.75" thickBot="1">
      <c r="A29" s="30"/>
      <c r="B29" s="15"/>
      <c r="C29" s="15"/>
      <c r="E29" s="68">
        <f>0.0293/100537</f>
        <v>2.9143499408178084E-7</v>
      </c>
      <c r="K29" s="347"/>
      <c r="L29" s="348"/>
      <c r="M29" s="40" t="s">
        <v>9</v>
      </c>
      <c r="N29" s="31">
        <v>145</v>
      </c>
      <c r="O29" s="41">
        <v>63970</v>
      </c>
      <c r="P29" s="50" t="s">
        <v>36</v>
      </c>
      <c r="Q29" s="31">
        <v>164</v>
      </c>
      <c r="R29" s="41">
        <v>76340</v>
      </c>
      <c r="T29">
        <f t="shared" ref="T29:T30" si="3">Q26+Q29+Q32</f>
        <v>7727</v>
      </c>
      <c r="U29" s="23">
        <f t="shared" ref="U29:U30" si="4">R26+R29+R32</f>
        <v>4084584</v>
      </c>
    </row>
    <row r="30" spans="1:21" ht="15.75" thickBot="1">
      <c r="A30" s="30" t="s">
        <v>43</v>
      </c>
      <c r="B30" s="15">
        <v>3</v>
      </c>
      <c r="C30" s="15">
        <v>8304</v>
      </c>
      <c r="K30" s="327"/>
      <c r="L30" s="348"/>
      <c r="M30" s="40" t="s">
        <v>10</v>
      </c>
      <c r="N30" s="31">
        <v>153</v>
      </c>
      <c r="O30" s="41">
        <v>92350</v>
      </c>
      <c r="P30" s="50" t="s">
        <v>37</v>
      </c>
      <c r="Q30" s="31">
        <v>149</v>
      </c>
      <c r="R30" s="41">
        <v>65600</v>
      </c>
      <c r="T30">
        <f t="shared" si="3"/>
        <v>8301</v>
      </c>
      <c r="U30" s="23">
        <f t="shared" si="4"/>
        <v>4116530</v>
      </c>
    </row>
    <row r="31" spans="1:21">
      <c r="C31" s="16">
        <f>SUM(C17:C30)</f>
        <v>100537</v>
      </c>
      <c r="K31" s="346" t="s">
        <v>68</v>
      </c>
      <c r="L31" s="348" t="s">
        <v>96</v>
      </c>
      <c r="M31" s="40" t="s">
        <v>4</v>
      </c>
      <c r="N31" s="27">
        <f>7417+477</f>
        <v>7894</v>
      </c>
      <c r="O31" s="41">
        <f>3472270</f>
        <v>3472270</v>
      </c>
      <c r="P31" s="50" t="s">
        <v>35</v>
      </c>
      <c r="Q31" s="27">
        <f>365+7644</f>
        <v>8009</v>
      </c>
      <c r="R31" s="41">
        <f>194090+4064750</f>
        <v>4258840</v>
      </c>
    </row>
    <row r="32" spans="1:21">
      <c r="C32" s="16"/>
      <c r="K32" s="347"/>
      <c r="L32" s="348"/>
      <c r="M32" s="40" t="s">
        <v>9</v>
      </c>
      <c r="N32" s="27">
        <f>6569+368</f>
        <v>6937</v>
      </c>
      <c r="O32" s="41">
        <v>8474000</v>
      </c>
      <c r="P32" s="50" t="s">
        <v>36</v>
      </c>
      <c r="Q32" s="27">
        <f>7079+315</f>
        <v>7394</v>
      </c>
      <c r="R32" s="41">
        <f>3739169+166385</f>
        <v>3905554</v>
      </c>
    </row>
    <row r="33" spans="1:19" ht="15.75" thickBot="1">
      <c r="A33" s="349" t="s">
        <v>87</v>
      </c>
      <c r="B33" s="349"/>
      <c r="C33" s="349"/>
      <c r="E33" s="42"/>
      <c r="F33" s="42"/>
      <c r="G33" s="42"/>
      <c r="H33" s="42"/>
      <c r="I33" s="42"/>
      <c r="J33" s="42"/>
      <c r="K33" s="327"/>
      <c r="L33" s="348"/>
      <c r="M33" s="40" t="s">
        <v>10</v>
      </c>
      <c r="N33" s="27">
        <f>7665+381</f>
        <v>8046</v>
      </c>
      <c r="O33" s="41">
        <f>3978200+197740</f>
        <v>4175940</v>
      </c>
      <c r="P33" s="50" t="s">
        <v>37</v>
      </c>
      <c r="Q33" s="27">
        <f>7663+320</f>
        <v>7983</v>
      </c>
      <c r="R33" s="41">
        <f>3880110+68970</f>
        <v>3949080</v>
      </c>
      <c r="S33" s="23">
        <f>SUM(R25:R33)</f>
        <v>12682224</v>
      </c>
    </row>
    <row r="34" spans="1:19" ht="15.75" thickBot="1">
      <c r="A34" s="30" t="s">
        <v>4</v>
      </c>
      <c r="B34" s="15">
        <v>3</v>
      </c>
      <c r="C34" s="15">
        <f>SUM(L20:N20)</f>
        <v>0</v>
      </c>
      <c r="D34">
        <f>C34-C17</f>
        <v>-7564</v>
      </c>
      <c r="E34" s="42"/>
      <c r="F34" s="352"/>
      <c r="G34" s="352"/>
      <c r="H34" s="352"/>
      <c r="I34" s="352"/>
      <c r="J34" s="42"/>
      <c r="K34" s="342" t="s">
        <v>66</v>
      </c>
      <c r="L34" s="344" t="s">
        <v>95</v>
      </c>
      <c r="M34" s="74" t="s">
        <v>38</v>
      </c>
      <c r="N34" s="252">
        <v>169</v>
      </c>
      <c r="O34" s="75">
        <v>101850</v>
      </c>
      <c r="P34" s="257" t="s">
        <v>41</v>
      </c>
      <c r="Q34" s="69">
        <v>165</v>
      </c>
      <c r="R34" s="255">
        <v>115260</v>
      </c>
    </row>
    <row r="35" spans="1:19" ht="15.75" thickBot="1">
      <c r="A35" s="30" t="s">
        <v>9</v>
      </c>
      <c r="B35" s="15">
        <v>3</v>
      </c>
      <c r="C35" s="15">
        <f>SUM(L21:N21)</f>
        <v>0</v>
      </c>
      <c r="D35">
        <f>C35-C18</f>
        <v>-8506</v>
      </c>
      <c r="E35" s="42"/>
      <c r="F35" s="22"/>
      <c r="G35" s="22"/>
      <c r="H35" s="22"/>
      <c r="I35" s="22"/>
      <c r="J35" s="42"/>
      <c r="K35" s="343"/>
      <c r="L35" s="344"/>
      <c r="M35" s="74" t="s">
        <v>39</v>
      </c>
      <c r="N35" s="252">
        <v>160</v>
      </c>
      <c r="O35" s="75">
        <v>95730</v>
      </c>
      <c r="P35" s="257" t="s">
        <v>42</v>
      </c>
      <c r="Q35" s="106">
        <v>181</v>
      </c>
      <c r="R35" s="255">
        <v>110470</v>
      </c>
    </row>
    <row r="36" spans="1:19" ht="15.75" thickBot="1">
      <c r="A36" s="30" t="s">
        <v>10</v>
      </c>
      <c r="B36" s="15">
        <v>3</v>
      </c>
      <c r="C36" s="15">
        <f>SUM(L22:N22)</f>
        <v>0</v>
      </c>
      <c r="D36">
        <f>C36-C19</f>
        <v>-8021</v>
      </c>
      <c r="E36" s="42"/>
      <c r="F36" s="44"/>
      <c r="G36" s="44"/>
      <c r="H36" s="44"/>
      <c r="I36" s="44"/>
      <c r="J36" s="42"/>
      <c r="K36" s="321"/>
      <c r="L36" s="344"/>
      <c r="M36" s="74" t="s">
        <v>40</v>
      </c>
      <c r="N36" s="252">
        <v>191</v>
      </c>
      <c r="O36" s="75">
        <v>118150</v>
      </c>
      <c r="P36" s="257" t="s">
        <v>43</v>
      </c>
      <c r="Q36" s="106">
        <v>172</v>
      </c>
      <c r="R36" s="255">
        <v>118311</v>
      </c>
    </row>
    <row r="37" spans="1:19" ht="17.25" customHeight="1">
      <c r="A37" s="331" t="s">
        <v>45</v>
      </c>
      <c r="B37" s="331"/>
      <c r="C37" s="331"/>
      <c r="K37" s="342" t="s">
        <v>67</v>
      </c>
      <c r="L37" s="344" t="s">
        <v>91</v>
      </c>
      <c r="M37" s="74" t="s">
        <v>38</v>
      </c>
      <c r="N37" s="252">
        <v>186</v>
      </c>
      <c r="O37" s="75">
        <v>83620</v>
      </c>
      <c r="P37" s="257" t="s">
        <v>41</v>
      </c>
      <c r="Q37" s="106">
        <v>150</v>
      </c>
      <c r="R37" s="255">
        <v>67860</v>
      </c>
    </row>
    <row r="38" spans="1:19" ht="15" customHeight="1">
      <c r="A38" s="350" t="s">
        <v>237</v>
      </c>
      <c r="B38" s="350"/>
      <c r="C38" s="350"/>
      <c r="D38" s="350"/>
      <c r="E38" s="350"/>
      <c r="K38" s="343"/>
      <c r="L38" s="344"/>
      <c r="M38" s="74" t="s">
        <v>39</v>
      </c>
      <c r="N38" s="252">
        <v>170</v>
      </c>
      <c r="O38" s="75">
        <v>75140</v>
      </c>
      <c r="P38" s="257" t="s">
        <v>42</v>
      </c>
      <c r="Q38" s="106">
        <v>172</v>
      </c>
      <c r="R38" s="255">
        <v>80020</v>
      </c>
    </row>
    <row r="39" spans="1:19" ht="14.25" customHeight="1">
      <c r="A39" s="350"/>
      <c r="B39" s="350"/>
      <c r="C39" s="350"/>
      <c r="D39" s="350"/>
      <c r="E39" s="350"/>
      <c r="K39" s="321"/>
      <c r="L39" s="344"/>
      <c r="M39" s="74" t="s">
        <v>40</v>
      </c>
      <c r="N39" s="252">
        <v>168</v>
      </c>
      <c r="O39" s="75">
        <v>76580</v>
      </c>
      <c r="P39" s="257" t="s">
        <v>43</v>
      </c>
      <c r="Q39" s="106">
        <v>142</v>
      </c>
      <c r="R39" s="255">
        <v>70150</v>
      </c>
    </row>
    <row r="40" spans="1:19">
      <c r="K40" s="342" t="s">
        <v>68</v>
      </c>
      <c r="L40" s="344" t="s">
        <v>96</v>
      </c>
      <c r="M40" s="74" t="s">
        <v>38</v>
      </c>
      <c r="N40" s="252">
        <f>7663+320</f>
        <v>7983</v>
      </c>
      <c r="O40" s="75">
        <f>3880110+68970</f>
        <v>3949080</v>
      </c>
      <c r="P40" s="257" t="s">
        <v>41</v>
      </c>
      <c r="Q40" s="106">
        <f>7923+339</f>
        <v>8262</v>
      </c>
      <c r="R40" s="255">
        <f>3536170+180900</f>
        <v>3717070</v>
      </c>
    </row>
    <row r="41" spans="1:19">
      <c r="K41" s="343"/>
      <c r="L41" s="344"/>
      <c r="M41" s="74" t="s">
        <v>39</v>
      </c>
      <c r="N41" s="252">
        <f>7895+340</f>
        <v>8235</v>
      </c>
      <c r="O41" s="75">
        <f>3964980+170750</f>
        <v>4135730</v>
      </c>
      <c r="P41" s="257" t="s">
        <v>42</v>
      </c>
      <c r="Q41" s="106">
        <f>289+6743</f>
        <v>7032</v>
      </c>
      <c r="R41" s="255">
        <f>222260+3962920</f>
        <v>4185180</v>
      </c>
    </row>
    <row r="42" spans="1:19">
      <c r="K42" s="321"/>
      <c r="L42" s="344"/>
      <c r="M42" s="74" t="s">
        <v>40</v>
      </c>
      <c r="N42" s="252">
        <f>321+7005</f>
        <v>7326</v>
      </c>
      <c r="O42" s="75">
        <f>160050+3492730</f>
        <v>3652780</v>
      </c>
      <c r="P42" s="257" t="s">
        <v>43</v>
      </c>
      <c r="Q42" s="106">
        <f>424+7560</f>
        <v>7984</v>
      </c>
      <c r="R42" s="255">
        <f>201770+3509650</f>
        <v>3711420</v>
      </c>
    </row>
    <row r="43" spans="1:19" ht="30">
      <c r="K43" s="216" t="s">
        <v>137</v>
      </c>
      <c r="L43" s="94">
        <v>376873</v>
      </c>
      <c r="M43" s="253" t="s">
        <v>39</v>
      </c>
      <c r="N43" s="76">
        <v>63</v>
      </c>
      <c r="O43" s="254"/>
      <c r="P43" s="257" t="s">
        <v>41</v>
      </c>
      <c r="Q43" s="106">
        <v>112</v>
      </c>
      <c r="R43" s="255">
        <v>169840</v>
      </c>
    </row>
    <row r="44" spans="1:19">
      <c r="M44" s="253" t="s">
        <v>40</v>
      </c>
      <c r="N44" s="76">
        <v>123</v>
      </c>
      <c r="O44" s="254">
        <v>93890</v>
      </c>
      <c r="P44" s="257" t="s">
        <v>42</v>
      </c>
      <c r="Q44" s="106">
        <v>87</v>
      </c>
      <c r="R44" s="255">
        <v>144790</v>
      </c>
    </row>
    <row r="45" spans="1:19">
      <c r="N45" s="112">
        <f>SUM(N25:N44)</f>
        <v>48632</v>
      </c>
      <c r="O45" s="254">
        <v>73590</v>
      </c>
      <c r="P45" s="257" t="s">
        <v>43</v>
      </c>
      <c r="Q45" s="69">
        <v>52</v>
      </c>
      <c r="R45" s="255">
        <v>91250</v>
      </c>
    </row>
    <row r="46" spans="1:19">
      <c r="N46" s="112">
        <f>SUM(Q25:Q45)</f>
        <v>48944</v>
      </c>
      <c r="P46"/>
      <c r="R46"/>
    </row>
    <row r="47" spans="1:19">
      <c r="M47" s="78" t="s">
        <v>483</v>
      </c>
      <c r="N47" s="256">
        <f>SUM(N45:N46)</f>
        <v>97576</v>
      </c>
      <c r="P47"/>
      <c r="R47"/>
    </row>
    <row r="48" spans="1:19">
      <c r="P48"/>
      <c r="R48"/>
    </row>
    <row r="49" spans="1:18">
      <c r="A49" s="319" t="s">
        <v>614</v>
      </c>
      <c r="B49" s="319"/>
      <c r="C49" s="319"/>
      <c r="D49" s="319"/>
      <c r="E49" s="319"/>
      <c r="F49" s="319"/>
      <c r="G49" s="319"/>
      <c r="H49" s="319"/>
      <c r="I49" s="319"/>
      <c r="J49" s="319"/>
      <c r="K49" s="319"/>
      <c r="L49" s="319"/>
      <c r="M49" s="319"/>
      <c r="N49" s="319"/>
      <c r="O49" s="319"/>
      <c r="P49" s="319"/>
      <c r="Q49" s="319"/>
      <c r="R49"/>
    </row>
    <row r="50" spans="1:18">
      <c r="A50" s="110" t="s">
        <v>485</v>
      </c>
      <c r="B50" s="110" t="s">
        <v>486</v>
      </c>
      <c r="C50" s="110" t="s">
        <v>487</v>
      </c>
      <c r="D50" s="110" t="s">
        <v>488</v>
      </c>
      <c r="E50" s="110" t="s">
        <v>489</v>
      </c>
      <c r="F50" s="110" t="s">
        <v>490</v>
      </c>
      <c r="G50" s="110" t="s">
        <v>491</v>
      </c>
      <c r="H50" s="110" t="s">
        <v>492</v>
      </c>
      <c r="I50" s="110" t="s">
        <v>493</v>
      </c>
      <c r="J50" s="110" t="s">
        <v>494</v>
      </c>
      <c r="K50" s="110" t="s">
        <v>495</v>
      </c>
      <c r="L50" s="110" t="s">
        <v>496</v>
      </c>
      <c r="M50" s="110" t="s">
        <v>497</v>
      </c>
      <c r="N50" s="110" t="s">
        <v>498</v>
      </c>
      <c r="O50" s="110" t="s">
        <v>499</v>
      </c>
      <c r="P50" s="110" t="s">
        <v>78</v>
      </c>
      <c r="Q50" s="110" t="s">
        <v>500</v>
      </c>
    </row>
    <row r="51" spans="1:18">
      <c r="A51" s="53">
        <v>2020</v>
      </c>
      <c r="B51" s="53">
        <v>4</v>
      </c>
      <c r="C51" s="53">
        <v>1</v>
      </c>
      <c r="D51" s="53" t="s">
        <v>501</v>
      </c>
      <c r="E51" s="53">
        <v>0</v>
      </c>
      <c r="F51" s="53">
        <v>90</v>
      </c>
      <c r="G51" s="53" t="s">
        <v>588</v>
      </c>
      <c r="H51" s="53" t="s">
        <v>588</v>
      </c>
      <c r="I51" s="53">
        <v>138</v>
      </c>
      <c r="J51" s="53">
        <v>144</v>
      </c>
      <c r="K51" s="53" t="s">
        <v>553</v>
      </c>
      <c r="L51" s="53">
        <v>12020</v>
      </c>
      <c r="M51" s="53" t="s">
        <v>503</v>
      </c>
      <c r="N51" s="53">
        <v>830037248</v>
      </c>
      <c r="O51" s="53" t="s">
        <v>589</v>
      </c>
      <c r="P51" s="53" t="s">
        <v>590</v>
      </c>
      <c r="Q51" s="53" t="s">
        <v>590</v>
      </c>
    </row>
    <row r="52" spans="1:18">
      <c r="A52" s="53">
        <v>2020</v>
      </c>
      <c r="B52" s="53">
        <v>4</v>
      </c>
      <c r="C52" s="53">
        <v>1</v>
      </c>
      <c r="D52" s="53" t="s">
        <v>501</v>
      </c>
      <c r="E52" s="53">
        <v>0</v>
      </c>
      <c r="F52" s="53">
        <v>99</v>
      </c>
      <c r="G52" s="53" t="s">
        <v>588</v>
      </c>
      <c r="H52" s="53" t="s">
        <v>588</v>
      </c>
      <c r="I52" s="53">
        <v>140</v>
      </c>
      <c r="J52" s="53">
        <v>146</v>
      </c>
      <c r="K52" s="53" t="s">
        <v>553</v>
      </c>
      <c r="L52" s="53">
        <v>12020</v>
      </c>
      <c r="M52" s="53" t="s">
        <v>503</v>
      </c>
      <c r="N52" s="53">
        <v>830037248</v>
      </c>
      <c r="O52" s="53" t="s">
        <v>589</v>
      </c>
      <c r="P52" s="53" t="s">
        <v>591</v>
      </c>
      <c r="Q52" s="53" t="s">
        <v>591</v>
      </c>
    </row>
    <row r="53" spans="1:18">
      <c r="A53" s="53">
        <v>2020</v>
      </c>
      <c r="B53" s="53">
        <v>4</v>
      </c>
      <c r="C53" s="53">
        <v>1</v>
      </c>
      <c r="D53" s="53" t="s">
        <v>501</v>
      </c>
      <c r="E53" s="53">
        <v>0</v>
      </c>
      <c r="F53" s="53">
        <v>106</v>
      </c>
      <c r="G53" s="258">
        <v>43866</v>
      </c>
      <c r="H53" s="258">
        <v>43866</v>
      </c>
      <c r="I53" s="53">
        <v>482</v>
      </c>
      <c r="J53" s="53">
        <v>542</v>
      </c>
      <c r="K53" s="53" t="s">
        <v>553</v>
      </c>
      <c r="L53" s="53">
        <v>12020</v>
      </c>
      <c r="M53" s="53" t="s">
        <v>503</v>
      </c>
      <c r="N53" s="53">
        <v>830037248</v>
      </c>
      <c r="O53" s="53" t="s">
        <v>589</v>
      </c>
      <c r="P53" s="53" t="s">
        <v>592</v>
      </c>
      <c r="Q53" s="53" t="s">
        <v>592</v>
      </c>
    </row>
    <row r="54" spans="1:18">
      <c r="A54" s="53">
        <v>2020</v>
      </c>
      <c r="B54" s="53">
        <v>4</v>
      </c>
      <c r="C54" s="53">
        <v>1</v>
      </c>
      <c r="D54" s="53" t="s">
        <v>501</v>
      </c>
      <c r="E54" s="53">
        <v>0</v>
      </c>
      <c r="F54" s="53">
        <v>133</v>
      </c>
      <c r="G54" s="258">
        <v>43867</v>
      </c>
      <c r="H54" s="258">
        <v>43867</v>
      </c>
      <c r="I54" s="53">
        <v>501</v>
      </c>
      <c r="J54" s="53">
        <v>557</v>
      </c>
      <c r="K54" s="53" t="s">
        <v>553</v>
      </c>
      <c r="L54" s="53">
        <v>12020</v>
      </c>
      <c r="M54" s="53" t="s">
        <v>503</v>
      </c>
      <c r="N54" s="53">
        <v>830037248</v>
      </c>
      <c r="O54" s="53" t="s">
        <v>589</v>
      </c>
      <c r="P54" s="53" t="s">
        <v>593</v>
      </c>
      <c r="Q54" s="53" t="s">
        <v>593</v>
      </c>
    </row>
    <row r="55" spans="1:18">
      <c r="A55" s="53">
        <v>2020</v>
      </c>
      <c r="B55" s="53">
        <v>4</v>
      </c>
      <c r="C55" s="53">
        <v>1</v>
      </c>
      <c r="D55" s="53" t="s">
        <v>501</v>
      </c>
      <c r="E55" s="53">
        <v>0</v>
      </c>
      <c r="F55" s="53">
        <v>137</v>
      </c>
      <c r="G55" s="258">
        <v>43871</v>
      </c>
      <c r="H55" s="258">
        <v>43871</v>
      </c>
      <c r="I55" s="53">
        <v>502</v>
      </c>
      <c r="J55" s="53">
        <v>584</v>
      </c>
      <c r="K55" s="53" t="s">
        <v>553</v>
      </c>
      <c r="L55" s="53">
        <v>12020</v>
      </c>
      <c r="M55" s="53" t="s">
        <v>503</v>
      </c>
      <c r="N55" s="53">
        <v>830037248</v>
      </c>
      <c r="O55" s="53" t="s">
        <v>589</v>
      </c>
      <c r="P55" s="53" t="s">
        <v>594</v>
      </c>
      <c r="Q55" s="53" t="s">
        <v>594</v>
      </c>
    </row>
    <row r="56" spans="1:18">
      <c r="A56" s="53">
        <v>2020</v>
      </c>
      <c r="B56" s="53">
        <v>4</v>
      </c>
      <c r="C56" s="53">
        <v>1</v>
      </c>
      <c r="D56" s="53" t="s">
        <v>501</v>
      </c>
      <c r="E56" s="53">
        <v>0</v>
      </c>
      <c r="F56" s="53">
        <v>137</v>
      </c>
      <c r="G56" s="258">
        <v>43871</v>
      </c>
      <c r="H56" s="258">
        <v>43871</v>
      </c>
      <c r="I56" s="53">
        <v>503</v>
      </c>
      <c r="J56" s="53">
        <v>585</v>
      </c>
      <c r="K56" s="53" t="s">
        <v>553</v>
      </c>
      <c r="L56" s="53">
        <v>12020</v>
      </c>
      <c r="M56" s="53" t="s">
        <v>503</v>
      </c>
      <c r="N56" s="53">
        <v>830037248</v>
      </c>
      <c r="O56" s="53" t="s">
        <v>589</v>
      </c>
      <c r="P56" s="53" t="s">
        <v>595</v>
      </c>
      <c r="Q56" s="53" t="s">
        <v>595</v>
      </c>
    </row>
    <row r="57" spans="1:18">
      <c r="A57" s="53">
        <v>2020</v>
      </c>
      <c r="B57" s="53">
        <v>4</v>
      </c>
      <c r="C57" s="53">
        <v>1</v>
      </c>
      <c r="D57" s="53" t="s">
        <v>501</v>
      </c>
      <c r="E57" s="53">
        <v>0</v>
      </c>
      <c r="F57" s="53">
        <v>138</v>
      </c>
      <c r="G57" s="258">
        <v>43872</v>
      </c>
      <c r="H57" s="258">
        <v>43872</v>
      </c>
      <c r="I57" s="53">
        <v>512</v>
      </c>
      <c r="J57" s="53">
        <v>586</v>
      </c>
      <c r="K57" s="53" t="s">
        <v>553</v>
      </c>
      <c r="L57" s="53">
        <v>12020</v>
      </c>
      <c r="M57" s="53" t="s">
        <v>503</v>
      </c>
      <c r="N57" s="53">
        <v>830037248</v>
      </c>
      <c r="O57" s="53" t="s">
        <v>589</v>
      </c>
      <c r="P57" s="53" t="s">
        <v>596</v>
      </c>
      <c r="Q57" s="53" t="s">
        <v>596</v>
      </c>
    </row>
    <row r="58" spans="1:18">
      <c r="A58" s="53">
        <v>2020</v>
      </c>
      <c r="B58" s="53">
        <v>4</v>
      </c>
      <c r="C58" s="53">
        <v>1</v>
      </c>
      <c r="D58" s="53" t="s">
        <v>501</v>
      </c>
      <c r="E58" s="53">
        <v>0</v>
      </c>
      <c r="F58" s="53">
        <v>138</v>
      </c>
      <c r="G58" s="258">
        <v>43872</v>
      </c>
      <c r="H58" s="258">
        <v>43872</v>
      </c>
      <c r="I58" s="53">
        <v>513</v>
      </c>
      <c r="J58" s="53">
        <v>587</v>
      </c>
      <c r="K58" s="53" t="s">
        <v>553</v>
      </c>
      <c r="L58" s="53">
        <v>12020</v>
      </c>
      <c r="M58" s="53" t="s">
        <v>503</v>
      </c>
      <c r="N58" s="53">
        <v>830037248</v>
      </c>
      <c r="O58" s="53" t="s">
        <v>589</v>
      </c>
      <c r="P58" s="53" t="s">
        <v>597</v>
      </c>
      <c r="Q58" s="53" t="s">
        <v>597</v>
      </c>
    </row>
    <row r="59" spans="1:18">
      <c r="A59" s="53">
        <v>2020</v>
      </c>
      <c r="B59" s="53">
        <v>4</v>
      </c>
      <c r="C59" s="53">
        <v>1</v>
      </c>
      <c r="D59" s="53" t="s">
        <v>501</v>
      </c>
      <c r="E59" s="53">
        <v>0</v>
      </c>
      <c r="F59" s="53">
        <v>325</v>
      </c>
      <c r="G59" s="258">
        <v>43895</v>
      </c>
      <c r="H59" s="258">
        <v>43895</v>
      </c>
      <c r="I59" s="53">
        <v>736</v>
      </c>
      <c r="J59" s="53">
        <v>809</v>
      </c>
      <c r="K59" s="53" t="s">
        <v>553</v>
      </c>
      <c r="L59" s="53">
        <v>12020</v>
      </c>
      <c r="M59" s="53" t="s">
        <v>503</v>
      </c>
      <c r="N59" s="53">
        <v>830037248</v>
      </c>
      <c r="O59" s="53" t="s">
        <v>589</v>
      </c>
      <c r="P59" s="53" t="s">
        <v>598</v>
      </c>
      <c r="Q59" s="53" t="s">
        <v>598</v>
      </c>
    </row>
    <row r="60" spans="1:18">
      <c r="A60" s="53">
        <v>2020</v>
      </c>
      <c r="B60" s="53">
        <v>4</v>
      </c>
      <c r="C60" s="53">
        <v>1</v>
      </c>
      <c r="D60" s="53" t="s">
        <v>501</v>
      </c>
      <c r="E60" s="53">
        <v>0</v>
      </c>
      <c r="F60" s="53">
        <v>372</v>
      </c>
      <c r="G60" s="258">
        <v>43901</v>
      </c>
      <c r="H60" s="258">
        <v>43901</v>
      </c>
      <c r="I60" s="53">
        <v>765</v>
      </c>
      <c r="J60" s="53">
        <v>850</v>
      </c>
      <c r="K60" s="53" t="s">
        <v>553</v>
      </c>
      <c r="L60" s="53">
        <v>12020</v>
      </c>
      <c r="M60" s="53" t="s">
        <v>503</v>
      </c>
      <c r="N60" s="53">
        <v>830037248</v>
      </c>
      <c r="O60" s="53" t="s">
        <v>589</v>
      </c>
      <c r="P60" s="53" t="s">
        <v>599</v>
      </c>
      <c r="Q60" s="53" t="s">
        <v>599</v>
      </c>
    </row>
    <row r="61" spans="1:18">
      <c r="A61" s="53">
        <v>2020</v>
      </c>
      <c r="B61" s="53">
        <v>4</v>
      </c>
      <c r="C61" s="53">
        <v>1</v>
      </c>
      <c r="D61" s="53" t="s">
        <v>501</v>
      </c>
      <c r="E61" s="53">
        <v>0</v>
      </c>
      <c r="F61" s="53">
        <v>372</v>
      </c>
      <c r="G61" s="258">
        <v>43901</v>
      </c>
      <c r="H61" s="258">
        <v>43901</v>
      </c>
      <c r="I61" s="53">
        <v>767</v>
      </c>
      <c r="J61" s="53">
        <v>851</v>
      </c>
      <c r="K61" s="53" t="s">
        <v>553</v>
      </c>
      <c r="L61" s="53">
        <v>12020</v>
      </c>
      <c r="M61" s="53" t="s">
        <v>503</v>
      </c>
      <c r="N61" s="53">
        <v>830037248</v>
      </c>
      <c r="O61" s="53" t="s">
        <v>589</v>
      </c>
      <c r="P61" s="53" t="s">
        <v>600</v>
      </c>
      <c r="Q61" s="53" t="s">
        <v>600</v>
      </c>
    </row>
    <row r="62" spans="1:18">
      <c r="A62" s="53">
        <v>2020</v>
      </c>
      <c r="B62" s="53">
        <v>4</v>
      </c>
      <c r="C62" s="53">
        <v>1</v>
      </c>
      <c r="D62" s="53" t="s">
        <v>501</v>
      </c>
      <c r="E62" s="53">
        <v>0</v>
      </c>
      <c r="F62" s="53">
        <v>402</v>
      </c>
      <c r="G62" s="258">
        <v>43903</v>
      </c>
      <c r="H62" s="258">
        <v>43903</v>
      </c>
      <c r="I62" s="53">
        <v>777</v>
      </c>
      <c r="J62" s="53">
        <v>856</v>
      </c>
      <c r="K62" s="53" t="s">
        <v>553</v>
      </c>
      <c r="L62" s="53">
        <v>12020</v>
      </c>
      <c r="M62" s="53" t="s">
        <v>503</v>
      </c>
      <c r="N62" s="53">
        <v>830037248</v>
      </c>
      <c r="O62" s="53" t="s">
        <v>589</v>
      </c>
      <c r="P62" s="53" t="s">
        <v>601</v>
      </c>
      <c r="Q62" s="53" t="s">
        <v>601</v>
      </c>
    </row>
    <row r="63" spans="1:18">
      <c r="A63" s="53">
        <v>2020</v>
      </c>
      <c r="B63" s="53">
        <v>4</v>
      </c>
      <c r="C63" s="53">
        <v>1</v>
      </c>
      <c r="D63" s="53" t="s">
        <v>501</v>
      </c>
      <c r="E63" s="53">
        <v>0</v>
      </c>
      <c r="F63" s="53">
        <v>431</v>
      </c>
      <c r="G63" s="258">
        <v>43906</v>
      </c>
      <c r="H63" s="258">
        <v>43906</v>
      </c>
      <c r="I63" s="53">
        <v>779</v>
      </c>
      <c r="J63" s="53">
        <v>857</v>
      </c>
      <c r="K63" s="53" t="s">
        <v>553</v>
      </c>
      <c r="L63" s="53">
        <v>12020</v>
      </c>
      <c r="M63" s="53" t="s">
        <v>503</v>
      </c>
      <c r="N63" s="53">
        <v>830037248</v>
      </c>
      <c r="O63" s="53" t="s">
        <v>589</v>
      </c>
      <c r="P63" s="53" t="s">
        <v>602</v>
      </c>
      <c r="Q63" s="53" t="s">
        <v>602</v>
      </c>
    </row>
    <row r="64" spans="1:18">
      <c r="A64" s="53">
        <v>2020</v>
      </c>
      <c r="B64" s="53">
        <v>4</v>
      </c>
      <c r="C64" s="53">
        <v>1</v>
      </c>
      <c r="D64" s="53" t="s">
        <v>501</v>
      </c>
      <c r="E64" s="53">
        <v>0</v>
      </c>
      <c r="F64" s="53">
        <v>431</v>
      </c>
      <c r="G64" s="258">
        <v>43906</v>
      </c>
      <c r="H64" s="258">
        <v>43906</v>
      </c>
      <c r="I64" s="53">
        <v>780</v>
      </c>
      <c r="J64" s="53">
        <v>858</v>
      </c>
      <c r="K64" s="53" t="s">
        <v>553</v>
      </c>
      <c r="L64" s="53">
        <v>12020</v>
      </c>
      <c r="M64" s="53" t="s">
        <v>503</v>
      </c>
      <c r="N64" s="53">
        <v>830037248</v>
      </c>
      <c r="O64" s="53" t="s">
        <v>589</v>
      </c>
      <c r="P64" s="53" t="s">
        <v>603</v>
      </c>
      <c r="Q64" s="53" t="s">
        <v>603</v>
      </c>
    </row>
    <row r="65" spans="1:22">
      <c r="A65" s="53">
        <v>2020</v>
      </c>
      <c r="B65" s="53">
        <v>4</v>
      </c>
      <c r="C65" s="53">
        <v>1</v>
      </c>
      <c r="D65" s="53" t="s">
        <v>501</v>
      </c>
      <c r="E65" s="53">
        <v>0</v>
      </c>
      <c r="F65" s="53">
        <v>635</v>
      </c>
      <c r="G65" s="53" t="s">
        <v>560</v>
      </c>
      <c r="H65" s="53" t="s">
        <v>560</v>
      </c>
      <c r="I65" s="53">
        <v>857</v>
      </c>
      <c r="J65" s="53">
        <v>900</v>
      </c>
      <c r="K65" s="53" t="s">
        <v>553</v>
      </c>
      <c r="L65" s="53">
        <v>12020</v>
      </c>
      <c r="M65" s="53" t="s">
        <v>503</v>
      </c>
      <c r="N65" s="53">
        <v>830037248</v>
      </c>
      <c r="O65" s="53" t="s">
        <v>589</v>
      </c>
      <c r="P65" s="53" t="s">
        <v>604</v>
      </c>
      <c r="Q65" s="53" t="s">
        <v>604</v>
      </c>
    </row>
    <row r="66" spans="1:22">
      <c r="A66" s="53">
        <v>2020</v>
      </c>
      <c r="B66" s="53">
        <v>4</v>
      </c>
      <c r="C66" s="53">
        <v>1</v>
      </c>
      <c r="D66" s="53" t="s">
        <v>501</v>
      </c>
      <c r="E66" s="53">
        <v>0</v>
      </c>
      <c r="F66" s="53">
        <v>635</v>
      </c>
      <c r="G66" s="53" t="s">
        <v>560</v>
      </c>
      <c r="H66" s="53" t="s">
        <v>560</v>
      </c>
      <c r="I66" s="53">
        <v>858</v>
      </c>
      <c r="J66" s="53">
        <v>901</v>
      </c>
      <c r="K66" s="53" t="s">
        <v>553</v>
      </c>
      <c r="L66" s="53">
        <v>12020</v>
      </c>
      <c r="M66" s="53" t="s">
        <v>503</v>
      </c>
      <c r="N66" s="53">
        <v>830037248</v>
      </c>
      <c r="O66" s="53" t="s">
        <v>589</v>
      </c>
      <c r="P66" s="53" t="s">
        <v>605</v>
      </c>
      <c r="Q66" s="53" t="s">
        <v>605</v>
      </c>
    </row>
    <row r="67" spans="1:22">
      <c r="A67" s="53">
        <v>2020</v>
      </c>
      <c r="B67" s="53">
        <v>4</v>
      </c>
      <c r="C67" s="53">
        <v>1</v>
      </c>
      <c r="D67" s="53" t="s">
        <v>501</v>
      </c>
      <c r="E67" s="53">
        <v>0</v>
      </c>
      <c r="F67" s="53">
        <v>810</v>
      </c>
      <c r="G67" s="53" t="s">
        <v>606</v>
      </c>
      <c r="H67" s="53" t="s">
        <v>606</v>
      </c>
      <c r="I67" s="53">
        <v>866</v>
      </c>
      <c r="J67" s="53">
        <v>917</v>
      </c>
      <c r="K67" s="53" t="s">
        <v>553</v>
      </c>
      <c r="L67" s="53">
        <v>12020</v>
      </c>
      <c r="M67" s="53" t="s">
        <v>503</v>
      </c>
      <c r="N67" s="53">
        <v>830037248</v>
      </c>
      <c r="O67" s="53" t="s">
        <v>589</v>
      </c>
      <c r="P67" s="53" t="s">
        <v>607</v>
      </c>
      <c r="Q67" s="53" t="s">
        <v>607</v>
      </c>
    </row>
    <row r="68" spans="1:22">
      <c r="A68" s="53">
        <v>2020</v>
      </c>
      <c r="B68" s="53">
        <v>4</v>
      </c>
      <c r="C68" s="53">
        <v>1</v>
      </c>
      <c r="D68" s="53" t="s">
        <v>501</v>
      </c>
      <c r="E68" s="53">
        <v>0</v>
      </c>
      <c r="F68" s="53">
        <v>920</v>
      </c>
      <c r="G68" s="258">
        <v>43962</v>
      </c>
      <c r="H68" s="258">
        <v>43962</v>
      </c>
      <c r="I68" s="53">
        <v>947</v>
      </c>
      <c r="J68" s="53">
        <v>942</v>
      </c>
      <c r="K68" s="53" t="s">
        <v>553</v>
      </c>
      <c r="L68" s="53">
        <v>12020</v>
      </c>
      <c r="M68" s="53" t="s">
        <v>503</v>
      </c>
      <c r="N68" s="53">
        <v>830037248</v>
      </c>
      <c r="O68" s="53" t="s">
        <v>589</v>
      </c>
      <c r="P68" s="53" t="s">
        <v>608</v>
      </c>
      <c r="Q68" s="53" t="s">
        <v>608</v>
      </c>
    </row>
    <row r="69" spans="1:22">
      <c r="A69" s="53">
        <v>2020</v>
      </c>
      <c r="B69" s="53">
        <v>4</v>
      </c>
      <c r="C69" s="53">
        <v>1</v>
      </c>
      <c r="D69" s="53" t="s">
        <v>501</v>
      </c>
      <c r="E69" s="53">
        <v>0</v>
      </c>
      <c r="F69" s="53">
        <v>1197</v>
      </c>
      <c r="G69" s="258">
        <v>43983</v>
      </c>
      <c r="H69" s="258">
        <v>43983</v>
      </c>
      <c r="I69" s="53">
        <v>992</v>
      </c>
      <c r="J69" s="53">
        <v>979</v>
      </c>
      <c r="K69" s="53" t="s">
        <v>553</v>
      </c>
      <c r="L69" s="53">
        <v>12020</v>
      </c>
      <c r="M69" s="53" t="s">
        <v>503</v>
      </c>
      <c r="N69" s="53">
        <v>830037248</v>
      </c>
      <c r="O69" s="53" t="s">
        <v>589</v>
      </c>
      <c r="P69" s="53" t="s">
        <v>609</v>
      </c>
      <c r="Q69" s="53" t="s">
        <v>609</v>
      </c>
    </row>
    <row r="70" spans="1:22">
      <c r="A70" s="53">
        <v>2020</v>
      </c>
      <c r="B70" s="53">
        <v>4</v>
      </c>
      <c r="C70" s="53">
        <v>1</v>
      </c>
      <c r="D70" s="53" t="s">
        <v>501</v>
      </c>
      <c r="E70" s="53">
        <v>0</v>
      </c>
      <c r="F70" s="53">
        <v>1212</v>
      </c>
      <c r="G70" s="258">
        <v>43987</v>
      </c>
      <c r="H70" s="258">
        <v>43987</v>
      </c>
      <c r="I70" s="53">
        <v>1003</v>
      </c>
      <c r="J70" s="53">
        <v>994</v>
      </c>
      <c r="K70" s="53" t="s">
        <v>553</v>
      </c>
      <c r="L70" s="53">
        <v>12020</v>
      </c>
      <c r="M70" s="53" t="s">
        <v>503</v>
      </c>
      <c r="N70" s="53">
        <v>830037248</v>
      </c>
      <c r="O70" s="53" t="s">
        <v>589</v>
      </c>
      <c r="P70" s="53" t="s">
        <v>610</v>
      </c>
      <c r="Q70" s="53" t="s">
        <v>610</v>
      </c>
    </row>
    <row r="71" spans="1:22">
      <c r="A71" s="53">
        <v>2020</v>
      </c>
      <c r="B71" s="53">
        <v>4</v>
      </c>
      <c r="C71" s="53">
        <v>1</v>
      </c>
      <c r="D71" s="53" t="s">
        <v>501</v>
      </c>
      <c r="E71" s="53">
        <v>0</v>
      </c>
      <c r="F71" s="53">
        <v>1449</v>
      </c>
      <c r="G71" s="258">
        <v>44001</v>
      </c>
      <c r="H71" s="258">
        <v>44001</v>
      </c>
      <c r="I71" s="53">
        <v>1085</v>
      </c>
      <c r="J71" s="53">
        <v>1092</v>
      </c>
      <c r="K71" s="53" t="s">
        <v>553</v>
      </c>
      <c r="L71" s="53">
        <v>12020</v>
      </c>
      <c r="M71" s="53" t="s">
        <v>503</v>
      </c>
      <c r="N71" s="53">
        <v>830037248</v>
      </c>
      <c r="O71" s="53" t="s">
        <v>589</v>
      </c>
      <c r="P71" s="53" t="s">
        <v>611</v>
      </c>
      <c r="Q71" s="53" t="s">
        <v>611</v>
      </c>
    </row>
    <row r="72" spans="1:22">
      <c r="A72" s="53">
        <v>2020</v>
      </c>
      <c r="B72" s="53">
        <v>4</v>
      </c>
      <c r="C72" s="53">
        <v>1</v>
      </c>
      <c r="D72" s="53" t="s">
        <v>501</v>
      </c>
      <c r="E72" s="53">
        <v>0</v>
      </c>
      <c r="F72" s="53">
        <v>1449</v>
      </c>
      <c r="G72" s="258">
        <v>44001</v>
      </c>
      <c r="H72" s="258">
        <v>44001</v>
      </c>
      <c r="I72" s="53">
        <v>1086</v>
      </c>
      <c r="J72" s="53">
        <v>1093</v>
      </c>
      <c r="K72" s="53" t="s">
        <v>553</v>
      </c>
      <c r="L72" s="53">
        <v>12020</v>
      </c>
      <c r="M72" s="53" t="s">
        <v>503</v>
      </c>
      <c r="N72" s="53">
        <v>830037248</v>
      </c>
      <c r="O72" s="53" t="s">
        <v>589</v>
      </c>
      <c r="P72" s="53" t="s">
        <v>612</v>
      </c>
      <c r="Q72" s="53" t="s">
        <v>612</v>
      </c>
    </row>
    <row r="73" spans="1:22">
      <c r="A73" s="53">
        <v>2020</v>
      </c>
      <c r="B73" s="53">
        <v>4</v>
      </c>
      <c r="C73" s="53">
        <v>1</v>
      </c>
      <c r="D73" s="53" t="s">
        <v>501</v>
      </c>
      <c r="E73" s="53">
        <v>0</v>
      </c>
      <c r="F73" s="53">
        <v>1531</v>
      </c>
      <c r="G73" s="258">
        <v>44018</v>
      </c>
      <c r="H73" s="258">
        <v>44018</v>
      </c>
      <c r="I73" s="53">
        <v>1169</v>
      </c>
      <c r="J73" s="53">
        <v>1165</v>
      </c>
      <c r="K73" s="53" t="s">
        <v>553</v>
      </c>
      <c r="L73" s="53">
        <v>12020</v>
      </c>
      <c r="M73" s="53" t="s">
        <v>503</v>
      </c>
      <c r="N73" s="53">
        <v>830037248</v>
      </c>
      <c r="O73" s="53" t="s">
        <v>589</v>
      </c>
      <c r="P73" s="53" t="s">
        <v>613</v>
      </c>
      <c r="Q73" s="53" t="s">
        <v>613</v>
      </c>
    </row>
    <row r="74" spans="1:22">
      <c r="Q74" s="270"/>
    </row>
    <row r="75" spans="1:22">
      <c r="A75" s="319" t="s">
        <v>646</v>
      </c>
      <c r="B75" s="319"/>
      <c r="C75" s="319"/>
      <c r="D75" s="319"/>
      <c r="E75" s="319"/>
      <c r="F75" s="319"/>
      <c r="G75" s="319"/>
      <c r="H75" s="319"/>
      <c r="I75" s="319"/>
      <c r="J75" s="319"/>
      <c r="K75" s="319"/>
      <c r="L75" s="319"/>
      <c r="M75" s="319"/>
      <c r="N75" s="319"/>
      <c r="O75" s="319"/>
      <c r="P75" s="319"/>
      <c r="Q75" s="319"/>
      <c r="R75" s="319"/>
      <c r="S75" s="319"/>
      <c r="T75" s="319"/>
      <c r="U75" s="319"/>
      <c r="V75" s="319"/>
    </row>
    <row r="76" spans="1:22" ht="30">
      <c r="A76" s="213" t="s">
        <v>529</v>
      </c>
      <c r="B76" s="213" t="s">
        <v>530</v>
      </c>
      <c r="C76" s="213" t="s">
        <v>531</v>
      </c>
      <c r="D76" s="92" t="s">
        <v>532</v>
      </c>
      <c r="E76" s="213" t="s">
        <v>533</v>
      </c>
      <c r="F76" s="92" t="s">
        <v>534</v>
      </c>
      <c r="G76" s="213" t="s">
        <v>535</v>
      </c>
      <c r="H76" s="213" t="s">
        <v>536</v>
      </c>
      <c r="I76" s="213" t="s">
        <v>537</v>
      </c>
      <c r="J76" s="213" t="s">
        <v>538</v>
      </c>
      <c r="K76" s="213" t="s">
        <v>539</v>
      </c>
      <c r="L76" s="213" t="s">
        <v>540</v>
      </c>
      <c r="M76" s="92" t="s">
        <v>541</v>
      </c>
      <c r="N76" s="92" t="s">
        <v>542</v>
      </c>
      <c r="O76" s="213" t="s">
        <v>543</v>
      </c>
      <c r="P76" s="213" t="s">
        <v>544</v>
      </c>
      <c r="Q76" s="213" t="s">
        <v>545</v>
      </c>
      <c r="R76" s="213" t="s">
        <v>546</v>
      </c>
      <c r="S76" s="213" t="s">
        <v>547</v>
      </c>
      <c r="T76" s="213" t="s">
        <v>544</v>
      </c>
      <c r="U76" s="213" t="s">
        <v>548</v>
      </c>
      <c r="V76" s="213" t="s">
        <v>549</v>
      </c>
    </row>
    <row r="77" spans="1:22">
      <c r="A77" s="53" t="s">
        <v>550</v>
      </c>
      <c r="B77" s="53" t="s">
        <v>551</v>
      </c>
      <c r="C77" s="53" t="s">
        <v>27</v>
      </c>
      <c r="D77" s="53" t="s">
        <v>552</v>
      </c>
      <c r="E77" s="53" t="s">
        <v>474</v>
      </c>
      <c r="F77" s="53" t="s">
        <v>516</v>
      </c>
      <c r="G77" s="53" t="s">
        <v>615</v>
      </c>
      <c r="H77" s="53" t="s">
        <v>518</v>
      </c>
      <c r="I77" s="53" t="s">
        <v>519</v>
      </c>
      <c r="J77" s="53" t="s">
        <v>519</v>
      </c>
      <c r="K77" s="53" t="s">
        <v>27</v>
      </c>
      <c r="L77" s="53" t="s">
        <v>616</v>
      </c>
      <c r="M77" s="53" t="s">
        <v>503</v>
      </c>
      <c r="N77" s="53" t="s">
        <v>617</v>
      </c>
      <c r="O77" s="53" t="s">
        <v>618</v>
      </c>
      <c r="P77" s="265">
        <v>44196</v>
      </c>
      <c r="Q77" s="266">
        <v>95650</v>
      </c>
      <c r="R77" s="266">
        <v>0</v>
      </c>
      <c r="S77" s="266">
        <v>95650</v>
      </c>
      <c r="T77" s="265">
        <v>44200</v>
      </c>
      <c r="U77" s="265">
        <v>44203</v>
      </c>
      <c r="V77" s="53" t="s">
        <v>619</v>
      </c>
    </row>
    <row r="78" spans="1:22">
      <c r="A78" s="53" t="s">
        <v>550</v>
      </c>
      <c r="B78" s="53" t="s">
        <v>551</v>
      </c>
      <c r="C78" s="53" t="s">
        <v>27</v>
      </c>
      <c r="D78" s="53" t="s">
        <v>552</v>
      </c>
      <c r="E78" s="53" t="s">
        <v>474</v>
      </c>
      <c r="F78" s="53" t="s">
        <v>516</v>
      </c>
      <c r="G78" s="53" t="s">
        <v>615</v>
      </c>
      <c r="H78" s="53" t="s">
        <v>518</v>
      </c>
      <c r="I78" s="53" t="s">
        <v>519</v>
      </c>
      <c r="J78" s="53" t="s">
        <v>519</v>
      </c>
      <c r="K78" s="53" t="s">
        <v>27</v>
      </c>
      <c r="L78" s="53" t="s">
        <v>620</v>
      </c>
      <c r="M78" s="53" t="s">
        <v>503</v>
      </c>
      <c r="N78" s="53" t="s">
        <v>617</v>
      </c>
      <c r="O78" s="53" t="s">
        <v>618</v>
      </c>
      <c r="P78" s="265">
        <v>44120</v>
      </c>
      <c r="Q78" s="266">
        <v>215430</v>
      </c>
      <c r="R78" s="266">
        <v>0</v>
      </c>
      <c r="S78" s="266">
        <v>215430</v>
      </c>
      <c r="T78" s="265">
        <v>44120</v>
      </c>
      <c r="U78" s="265">
        <v>44123</v>
      </c>
      <c r="V78" s="53" t="s">
        <v>621</v>
      </c>
    </row>
    <row r="79" spans="1:22">
      <c r="A79" s="53" t="s">
        <v>550</v>
      </c>
      <c r="B79" s="53" t="s">
        <v>551</v>
      </c>
      <c r="C79" s="53" t="s">
        <v>27</v>
      </c>
      <c r="D79" s="53" t="s">
        <v>552</v>
      </c>
      <c r="E79" s="53" t="s">
        <v>474</v>
      </c>
      <c r="F79" s="53" t="s">
        <v>516</v>
      </c>
      <c r="G79" s="53" t="s">
        <v>615</v>
      </c>
      <c r="H79" s="53" t="s">
        <v>518</v>
      </c>
      <c r="I79" s="53" t="s">
        <v>519</v>
      </c>
      <c r="J79" s="53" t="s">
        <v>519</v>
      </c>
      <c r="K79" s="53" t="s">
        <v>27</v>
      </c>
      <c r="L79" s="53" t="s">
        <v>622</v>
      </c>
      <c r="M79" s="53" t="s">
        <v>503</v>
      </c>
      <c r="N79" s="53" t="s">
        <v>617</v>
      </c>
      <c r="O79" s="53" t="s">
        <v>618</v>
      </c>
      <c r="P79" s="265">
        <v>44120</v>
      </c>
      <c r="Q79" s="266">
        <v>89120</v>
      </c>
      <c r="R79" s="266">
        <v>0</v>
      </c>
      <c r="S79" s="266">
        <v>89120</v>
      </c>
      <c r="T79" s="265">
        <v>44120</v>
      </c>
      <c r="U79" s="265">
        <v>44123</v>
      </c>
      <c r="V79" s="53" t="s">
        <v>623</v>
      </c>
    </row>
    <row r="80" spans="1:22">
      <c r="A80" s="53" t="s">
        <v>550</v>
      </c>
      <c r="B80" s="53" t="s">
        <v>551</v>
      </c>
      <c r="C80" s="53" t="s">
        <v>27</v>
      </c>
      <c r="D80" s="53" t="s">
        <v>552</v>
      </c>
      <c r="E80" s="53" t="s">
        <v>474</v>
      </c>
      <c r="F80" s="53" t="s">
        <v>516</v>
      </c>
      <c r="G80" s="53" t="s">
        <v>615</v>
      </c>
      <c r="H80" s="53" t="s">
        <v>518</v>
      </c>
      <c r="I80" s="53" t="s">
        <v>519</v>
      </c>
      <c r="J80" s="53" t="s">
        <v>519</v>
      </c>
      <c r="K80" s="53" t="s">
        <v>27</v>
      </c>
      <c r="L80" s="53" t="s">
        <v>622</v>
      </c>
      <c r="M80" s="53" t="s">
        <v>503</v>
      </c>
      <c r="N80" s="53" t="s">
        <v>617</v>
      </c>
      <c r="O80" s="53" t="s">
        <v>618</v>
      </c>
      <c r="P80" s="265">
        <v>44120</v>
      </c>
      <c r="Q80" s="266">
        <v>362840</v>
      </c>
      <c r="R80" s="266">
        <v>0</v>
      </c>
      <c r="S80" s="266">
        <v>362840</v>
      </c>
      <c r="T80" s="265">
        <v>44120</v>
      </c>
      <c r="U80" s="265">
        <v>44123</v>
      </c>
      <c r="V80" s="53" t="s">
        <v>624</v>
      </c>
    </row>
    <row r="81" spans="1:22">
      <c r="A81" s="53" t="s">
        <v>550</v>
      </c>
      <c r="B81" s="53" t="s">
        <v>551</v>
      </c>
      <c r="C81" s="53" t="s">
        <v>27</v>
      </c>
      <c r="D81" s="53" t="s">
        <v>552</v>
      </c>
      <c r="E81" s="53" t="s">
        <v>474</v>
      </c>
      <c r="F81" s="53" t="s">
        <v>516</v>
      </c>
      <c r="G81" s="53" t="s">
        <v>615</v>
      </c>
      <c r="H81" s="53" t="s">
        <v>518</v>
      </c>
      <c r="I81" s="53" t="s">
        <v>519</v>
      </c>
      <c r="J81" s="53" t="s">
        <v>519</v>
      </c>
      <c r="K81" s="53" t="s">
        <v>27</v>
      </c>
      <c r="L81" s="53" t="s">
        <v>625</v>
      </c>
      <c r="M81" s="53" t="s">
        <v>503</v>
      </c>
      <c r="N81" s="53" t="s">
        <v>617</v>
      </c>
      <c r="O81" s="53" t="s">
        <v>618</v>
      </c>
      <c r="P81" s="265">
        <v>44120</v>
      </c>
      <c r="Q81" s="266">
        <v>2951040</v>
      </c>
      <c r="R81" s="266">
        <v>0</v>
      </c>
      <c r="S81" s="266">
        <v>2951040</v>
      </c>
      <c r="T81" s="265">
        <v>44120</v>
      </c>
      <c r="U81" s="265">
        <v>44123</v>
      </c>
      <c r="V81" s="53" t="s">
        <v>626</v>
      </c>
    </row>
    <row r="82" spans="1:22">
      <c r="A82" s="53" t="s">
        <v>550</v>
      </c>
      <c r="B82" s="53" t="s">
        <v>551</v>
      </c>
      <c r="C82" s="53" t="s">
        <v>27</v>
      </c>
      <c r="D82" s="53" t="s">
        <v>552</v>
      </c>
      <c r="E82" s="53" t="s">
        <v>474</v>
      </c>
      <c r="F82" s="53" t="s">
        <v>516</v>
      </c>
      <c r="G82" s="53" t="s">
        <v>615</v>
      </c>
      <c r="H82" s="53" t="s">
        <v>518</v>
      </c>
      <c r="I82" s="53" t="s">
        <v>519</v>
      </c>
      <c r="J82" s="53" t="s">
        <v>519</v>
      </c>
      <c r="K82" s="53" t="s">
        <v>27</v>
      </c>
      <c r="L82" s="53" t="s">
        <v>622</v>
      </c>
      <c r="M82" s="53" t="s">
        <v>503</v>
      </c>
      <c r="N82" s="53" t="s">
        <v>617</v>
      </c>
      <c r="O82" s="53" t="s">
        <v>618</v>
      </c>
      <c r="P82" s="265">
        <v>44120</v>
      </c>
      <c r="Q82" s="266">
        <v>207340</v>
      </c>
      <c r="R82" s="266">
        <v>0</v>
      </c>
      <c r="S82" s="266">
        <v>207340</v>
      </c>
      <c r="T82" s="265">
        <v>44120</v>
      </c>
      <c r="U82" s="265">
        <v>44123</v>
      </c>
      <c r="V82" s="53" t="s">
        <v>627</v>
      </c>
    </row>
    <row r="83" spans="1:22">
      <c r="A83" s="53" t="s">
        <v>550</v>
      </c>
      <c r="B83" s="53" t="s">
        <v>551</v>
      </c>
      <c r="C83" s="53" t="s">
        <v>27</v>
      </c>
      <c r="D83" s="53" t="s">
        <v>552</v>
      </c>
      <c r="E83" s="53" t="s">
        <v>474</v>
      </c>
      <c r="F83" s="53" t="s">
        <v>516</v>
      </c>
      <c r="G83" s="53" t="s">
        <v>615</v>
      </c>
      <c r="H83" s="53" t="s">
        <v>518</v>
      </c>
      <c r="I83" s="53" t="s">
        <v>519</v>
      </c>
      <c r="J83" s="53" t="s">
        <v>519</v>
      </c>
      <c r="K83" s="53" t="s">
        <v>27</v>
      </c>
      <c r="L83" s="53" t="s">
        <v>628</v>
      </c>
      <c r="M83" s="53" t="s">
        <v>503</v>
      </c>
      <c r="N83" s="53" t="s">
        <v>617</v>
      </c>
      <c r="O83" s="53" t="s">
        <v>618</v>
      </c>
      <c r="P83" s="265">
        <v>44144</v>
      </c>
      <c r="Q83" s="266">
        <v>262180</v>
      </c>
      <c r="R83" s="266">
        <v>0</v>
      </c>
      <c r="S83" s="266">
        <v>262180</v>
      </c>
      <c r="T83" s="265">
        <v>44144</v>
      </c>
      <c r="U83" s="265">
        <v>44145</v>
      </c>
      <c r="V83" s="53" t="s">
        <v>629</v>
      </c>
    </row>
    <row r="84" spans="1:22">
      <c r="A84" s="53" t="s">
        <v>550</v>
      </c>
      <c r="B84" s="53" t="s">
        <v>551</v>
      </c>
      <c r="C84" s="53" t="s">
        <v>27</v>
      </c>
      <c r="D84" s="53" t="s">
        <v>552</v>
      </c>
      <c r="E84" s="53" t="s">
        <v>474</v>
      </c>
      <c r="F84" s="53" t="s">
        <v>516</v>
      </c>
      <c r="G84" s="53" t="s">
        <v>615</v>
      </c>
      <c r="H84" s="53" t="s">
        <v>518</v>
      </c>
      <c r="I84" s="53" t="s">
        <v>519</v>
      </c>
      <c r="J84" s="53" t="s">
        <v>519</v>
      </c>
      <c r="K84" s="53" t="s">
        <v>27</v>
      </c>
      <c r="L84" s="53" t="s">
        <v>630</v>
      </c>
      <c r="M84" s="53" t="s">
        <v>503</v>
      </c>
      <c r="N84" s="53" t="s">
        <v>617</v>
      </c>
      <c r="O84" s="53" t="s">
        <v>618</v>
      </c>
      <c r="P84" s="265">
        <v>44144</v>
      </c>
      <c r="Q84" s="266">
        <v>144810</v>
      </c>
      <c r="R84" s="266">
        <v>0</v>
      </c>
      <c r="S84" s="266">
        <v>144810</v>
      </c>
      <c r="T84" s="265">
        <v>44144</v>
      </c>
      <c r="U84" s="265">
        <v>44145</v>
      </c>
      <c r="V84" s="53" t="s">
        <v>631</v>
      </c>
    </row>
    <row r="85" spans="1:22">
      <c r="A85" s="53" t="s">
        <v>550</v>
      </c>
      <c r="B85" s="53" t="s">
        <v>551</v>
      </c>
      <c r="C85" s="53" t="s">
        <v>27</v>
      </c>
      <c r="D85" s="53" t="s">
        <v>552</v>
      </c>
      <c r="E85" s="53" t="s">
        <v>474</v>
      </c>
      <c r="F85" s="53" t="s">
        <v>516</v>
      </c>
      <c r="G85" s="53" t="s">
        <v>615</v>
      </c>
      <c r="H85" s="53" t="s">
        <v>518</v>
      </c>
      <c r="I85" s="53" t="s">
        <v>519</v>
      </c>
      <c r="J85" s="53" t="s">
        <v>519</v>
      </c>
      <c r="K85" s="53" t="s">
        <v>27</v>
      </c>
      <c r="L85" s="53" t="s">
        <v>632</v>
      </c>
      <c r="M85" s="53" t="s">
        <v>503</v>
      </c>
      <c r="N85" s="53" t="s">
        <v>617</v>
      </c>
      <c r="O85" s="53" t="s">
        <v>618</v>
      </c>
      <c r="P85" s="265">
        <v>44144</v>
      </c>
      <c r="Q85" s="266">
        <v>3207100</v>
      </c>
      <c r="R85" s="266">
        <v>0</v>
      </c>
      <c r="S85" s="266">
        <v>3207100</v>
      </c>
      <c r="T85" s="265">
        <v>44144</v>
      </c>
      <c r="U85" s="265">
        <v>44145</v>
      </c>
      <c r="V85" s="53" t="s">
        <v>633</v>
      </c>
    </row>
    <row r="86" spans="1:22">
      <c r="A86" s="53" t="s">
        <v>550</v>
      </c>
      <c r="B86" s="53" t="s">
        <v>551</v>
      </c>
      <c r="C86" s="53" t="s">
        <v>27</v>
      </c>
      <c r="D86" s="53" t="s">
        <v>552</v>
      </c>
      <c r="E86" s="53" t="s">
        <v>474</v>
      </c>
      <c r="F86" s="53" t="s">
        <v>516</v>
      </c>
      <c r="G86" s="53" t="s">
        <v>615</v>
      </c>
      <c r="H86" s="53" t="s">
        <v>518</v>
      </c>
      <c r="I86" s="53" t="s">
        <v>519</v>
      </c>
      <c r="J86" s="53" t="s">
        <v>519</v>
      </c>
      <c r="K86" s="53" t="s">
        <v>27</v>
      </c>
      <c r="L86" s="53" t="s">
        <v>634</v>
      </c>
      <c r="M86" s="53" t="s">
        <v>503</v>
      </c>
      <c r="N86" s="53" t="s">
        <v>617</v>
      </c>
      <c r="O86" s="53" t="s">
        <v>618</v>
      </c>
      <c r="P86" s="265">
        <v>44144</v>
      </c>
      <c r="Q86" s="266">
        <v>209910</v>
      </c>
      <c r="R86" s="266">
        <v>0</v>
      </c>
      <c r="S86" s="266">
        <v>209910</v>
      </c>
      <c r="T86" s="265">
        <v>44144</v>
      </c>
      <c r="U86" s="265">
        <v>44145</v>
      </c>
      <c r="V86" s="53" t="s">
        <v>635</v>
      </c>
    </row>
    <row r="87" spans="1:22">
      <c r="A87" s="53" t="s">
        <v>550</v>
      </c>
      <c r="B87" s="53" t="s">
        <v>551</v>
      </c>
      <c r="C87" s="53" t="s">
        <v>27</v>
      </c>
      <c r="D87" s="53" t="s">
        <v>552</v>
      </c>
      <c r="E87" s="53" t="s">
        <v>474</v>
      </c>
      <c r="F87" s="53" t="s">
        <v>516</v>
      </c>
      <c r="G87" s="53" t="s">
        <v>615</v>
      </c>
      <c r="H87" s="53" t="s">
        <v>518</v>
      </c>
      <c r="I87" s="53" t="s">
        <v>519</v>
      </c>
      <c r="J87" s="53" t="s">
        <v>519</v>
      </c>
      <c r="K87" s="53" t="s">
        <v>27</v>
      </c>
      <c r="L87" s="53" t="s">
        <v>636</v>
      </c>
      <c r="M87" s="53" t="s">
        <v>503</v>
      </c>
      <c r="N87" s="53" t="s">
        <v>617</v>
      </c>
      <c r="O87" s="53" t="s">
        <v>618</v>
      </c>
      <c r="P87" s="265">
        <v>44146</v>
      </c>
      <c r="Q87" s="266">
        <v>214790</v>
      </c>
      <c r="R87" s="266">
        <v>0</v>
      </c>
      <c r="S87" s="266">
        <v>214790</v>
      </c>
      <c r="T87" s="265">
        <v>44147</v>
      </c>
      <c r="U87" s="265">
        <v>44148</v>
      </c>
      <c r="V87" s="53" t="s">
        <v>637</v>
      </c>
    </row>
    <row r="88" spans="1:22">
      <c r="A88" s="53" t="s">
        <v>550</v>
      </c>
      <c r="B88" s="53" t="s">
        <v>551</v>
      </c>
      <c r="C88" s="53" t="s">
        <v>27</v>
      </c>
      <c r="D88" s="53" t="s">
        <v>552</v>
      </c>
      <c r="E88" s="53" t="s">
        <v>474</v>
      </c>
      <c r="F88" s="53" t="s">
        <v>516</v>
      </c>
      <c r="G88" s="53" t="s">
        <v>615</v>
      </c>
      <c r="H88" s="53" t="s">
        <v>518</v>
      </c>
      <c r="I88" s="53" t="s">
        <v>519</v>
      </c>
      <c r="J88" s="53" t="s">
        <v>519</v>
      </c>
      <c r="K88" s="53" t="s">
        <v>27</v>
      </c>
      <c r="L88" s="53" t="s">
        <v>638</v>
      </c>
      <c r="M88" s="53" t="s">
        <v>503</v>
      </c>
      <c r="N88" s="53" t="s">
        <v>617</v>
      </c>
      <c r="O88" s="53" t="s">
        <v>618</v>
      </c>
      <c r="P88" s="265">
        <v>44172</v>
      </c>
      <c r="Q88" s="266">
        <v>282700</v>
      </c>
      <c r="R88" s="266">
        <v>0</v>
      </c>
      <c r="S88" s="266">
        <v>282700</v>
      </c>
      <c r="T88" s="265">
        <v>44172</v>
      </c>
      <c r="U88" s="265">
        <v>44174</v>
      </c>
      <c r="V88" s="53" t="s">
        <v>639</v>
      </c>
    </row>
    <row r="89" spans="1:22">
      <c r="A89" s="53" t="s">
        <v>550</v>
      </c>
      <c r="B89" s="53" t="s">
        <v>551</v>
      </c>
      <c r="C89" s="53" t="s">
        <v>27</v>
      </c>
      <c r="D89" s="53" t="s">
        <v>552</v>
      </c>
      <c r="E89" s="53" t="s">
        <v>474</v>
      </c>
      <c r="F89" s="53" t="s">
        <v>516</v>
      </c>
      <c r="G89" s="53" t="s">
        <v>615</v>
      </c>
      <c r="H89" s="53" t="s">
        <v>518</v>
      </c>
      <c r="I89" s="53" t="s">
        <v>519</v>
      </c>
      <c r="J89" s="53" t="s">
        <v>519</v>
      </c>
      <c r="K89" s="53" t="s">
        <v>27</v>
      </c>
      <c r="L89" s="53" t="s">
        <v>616</v>
      </c>
      <c r="M89" s="53" t="s">
        <v>503</v>
      </c>
      <c r="N89" s="53" t="s">
        <v>617</v>
      </c>
      <c r="O89" s="53" t="s">
        <v>618</v>
      </c>
      <c r="P89" s="265">
        <v>44172</v>
      </c>
      <c r="Q89" s="266">
        <v>147950</v>
      </c>
      <c r="R89" s="266">
        <v>0</v>
      </c>
      <c r="S89" s="266">
        <v>147950</v>
      </c>
      <c r="T89" s="265">
        <v>44172</v>
      </c>
      <c r="U89" s="265">
        <v>44174</v>
      </c>
      <c r="V89" s="53" t="s">
        <v>640</v>
      </c>
    </row>
    <row r="90" spans="1:22">
      <c r="A90" s="53" t="s">
        <v>550</v>
      </c>
      <c r="B90" s="53" t="s">
        <v>551</v>
      </c>
      <c r="C90" s="53" t="s">
        <v>27</v>
      </c>
      <c r="D90" s="53" t="s">
        <v>552</v>
      </c>
      <c r="E90" s="53" t="s">
        <v>474</v>
      </c>
      <c r="F90" s="53" t="s">
        <v>516</v>
      </c>
      <c r="G90" s="53" t="s">
        <v>615</v>
      </c>
      <c r="H90" s="53" t="s">
        <v>518</v>
      </c>
      <c r="I90" s="53" t="s">
        <v>519</v>
      </c>
      <c r="J90" s="53" t="s">
        <v>519</v>
      </c>
      <c r="K90" s="53" t="s">
        <v>27</v>
      </c>
      <c r="L90" s="53" t="s">
        <v>641</v>
      </c>
      <c r="M90" s="53" t="s">
        <v>503</v>
      </c>
      <c r="N90" s="53" t="s">
        <v>617</v>
      </c>
      <c r="O90" s="53" t="s">
        <v>618</v>
      </c>
      <c r="P90" s="265">
        <v>44172</v>
      </c>
      <c r="Q90" s="266">
        <v>3539590</v>
      </c>
      <c r="R90" s="266">
        <v>0</v>
      </c>
      <c r="S90" s="266">
        <v>3539590</v>
      </c>
      <c r="T90" s="265">
        <v>44172</v>
      </c>
      <c r="U90" s="265">
        <v>44174</v>
      </c>
      <c r="V90" s="53" t="s">
        <v>642</v>
      </c>
    </row>
    <row r="91" spans="1:22">
      <c r="A91" s="53" t="s">
        <v>550</v>
      </c>
      <c r="B91" s="53" t="s">
        <v>551</v>
      </c>
      <c r="C91" s="53" t="s">
        <v>27</v>
      </c>
      <c r="D91" s="53" t="s">
        <v>552</v>
      </c>
      <c r="E91" s="53" t="s">
        <v>474</v>
      </c>
      <c r="F91" s="53" t="s">
        <v>516</v>
      </c>
      <c r="G91" s="53" t="s">
        <v>615</v>
      </c>
      <c r="H91" s="53" t="s">
        <v>518</v>
      </c>
      <c r="I91" s="53" t="s">
        <v>519</v>
      </c>
      <c r="J91" s="53" t="s">
        <v>519</v>
      </c>
      <c r="K91" s="53" t="s">
        <v>27</v>
      </c>
      <c r="L91" s="53" t="s">
        <v>643</v>
      </c>
      <c r="M91" s="53" t="s">
        <v>503</v>
      </c>
      <c r="N91" s="53" t="s">
        <v>617</v>
      </c>
      <c r="O91" s="53" t="s">
        <v>618</v>
      </c>
      <c r="P91" s="265">
        <v>44173</v>
      </c>
      <c r="Q91" s="266">
        <v>231080</v>
      </c>
      <c r="R91" s="266">
        <v>0</v>
      </c>
      <c r="S91" s="266">
        <v>231080</v>
      </c>
      <c r="T91" s="265">
        <v>44173</v>
      </c>
      <c r="U91" s="265">
        <v>44174</v>
      </c>
      <c r="V91" s="53" t="s">
        <v>644</v>
      </c>
    </row>
    <row r="92" spans="1:22">
      <c r="A92" s="53" t="s">
        <v>550</v>
      </c>
      <c r="B92" s="53" t="s">
        <v>551</v>
      </c>
      <c r="C92" s="53" t="s">
        <v>27</v>
      </c>
      <c r="D92" s="53" t="s">
        <v>552</v>
      </c>
      <c r="E92" s="53" t="s">
        <v>474</v>
      </c>
      <c r="F92" s="53" t="s">
        <v>516</v>
      </c>
      <c r="G92" s="53" t="s">
        <v>615</v>
      </c>
      <c r="H92" s="53" t="s">
        <v>518</v>
      </c>
      <c r="I92" s="53" t="s">
        <v>519</v>
      </c>
      <c r="J92" s="53" t="s">
        <v>519</v>
      </c>
      <c r="K92" s="53" t="s">
        <v>27</v>
      </c>
      <c r="L92" s="53" t="s">
        <v>636</v>
      </c>
      <c r="M92" s="53" t="s">
        <v>503</v>
      </c>
      <c r="N92" s="53" t="s">
        <v>617</v>
      </c>
      <c r="O92" s="53" t="s">
        <v>618</v>
      </c>
      <c r="P92" s="265">
        <v>44182</v>
      </c>
      <c r="Q92" s="266">
        <v>174120</v>
      </c>
      <c r="R92" s="266">
        <v>0</v>
      </c>
      <c r="S92" s="266">
        <v>174120</v>
      </c>
      <c r="T92" s="265">
        <v>44182</v>
      </c>
      <c r="U92" s="265">
        <v>44183</v>
      </c>
      <c r="V92" s="53" t="s">
        <v>645</v>
      </c>
    </row>
  </sheetData>
  <mergeCells count="36">
    <mergeCell ref="A33:C33"/>
    <mergeCell ref="F34:I34"/>
    <mergeCell ref="K1:R1"/>
    <mergeCell ref="K11:K13"/>
    <mergeCell ref="L11:L13"/>
    <mergeCell ref="K14:K16"/>
    <mergeCell ref="L14:L16"/>
    <mergeCell ref="K31:K33"/>
    <mergeCell ref="L31:L33"/>
    <mergeCell ref="K23:O23"/>
    <mergeCell ref="K25:K27"/>
    <mergeCell ref="L25:L27"/>
    <mergeCell ref="K28:K30"/>
    <mergeCell ref="L28:L30"/>
    <mergeCell ref="P23:R23"/>
    <mergeCell ref="K17:K19"/>
    <mergeCell ref="L17:L19"/>
    <mergeCell ref="A2:C2"/>
    <mergeCell ref="A16:C16"/>
    <mergeCell ref="K2:K4"/>
    <mergeCell ref="L2:L4"/>
    <mergeCell ref="K5:K7"/>
    <mergeCell ref="L5:L7"/>
    <mergeCell ref="K8:K10"/>
    <mergeCell ref="L8:L10"/>
    <mergeCell ref="F17:I17"/>
    <mergeCell ref="A49:Q49"/>
    <mergeCell ref="A75:V75"/>
    <mergeCell ref="K34:K36"/>
    <mergeCell ref="L34:L36"/>
    <mergeCell ref="K37:K39"/>
    <mergeCell ref="L37:L39"/>
    <mergeCell ref="K40:K42"/>
    <mergeCell ref="L40:L42"/>
    <mergeCell ref="A38:E39"/>
    <mergeCell ref="A37:C37"/>
  </mergeCells>
  <dataValidations disablePrompts="1" count="5">
    <dataValidation type="list" allowBlank="1" showInputMessage="1" showErrorMessage="1" errorTitle="Entrada no válida" error="Por favor seleccione un elemento de la lista" promptTitle="Seleccione un elemento de la lista" sqref="A9:A14">
      <formula1>$A$351019:$A$351031</formula1>
    </dataValidation>
    <dataValidation type="textLength" allowBlank="1" showInputMessage="1" showErrorMessage="1" errorTitle="Entrada no válida" error="Escriba un texto " promptTitle="Cualquier contenido" prompt=" Escriba el numeral correspondiente a las sedes de acuerdo al reporte realizado en el formulario de &quot;Sedes&quot; del informe de &quot;Información Institucional&quot;. Ej. 1,2,3,4." sqref="B9">
      <formula1>0</formula1>
      <formula2>4000</formula2>
    </dataValidation>
    <dataValidation type="decimal" allowBlank="1" showInputMessage="1" showErrorMessage="1" errorTitle="Entrada no válida" error="Por favor escriba un número" promptTitle="Escriba un número en esta casilla" sqref="C14">
      <formula1>-9223372036854770000</formula1>
      <formula2>9223372036854770000</formula2>
    </dataValidation>
    <dataValidation type="textLength" allowBlank="1" showInputMessage="1" showErrorMessage="1" errorTitle="Entrada no válida" error="Escriba un texto " promptTitle="Cualquier contenido" sqref="B10:B14">
      <formula1>0</formula1>
      <formula2>4000</formula2>
    </dataValidation>
    <dataValidation type="list" allowBlank="1" showInputMessage="1" showErrorMessage="1" errorTitle="Entrada no válida" error="Por favor seleccione un elemento de la lista" promptTitle="Seleccione un elemento de la lista" sqref="A3:A8">
      <formula1>$A$351025:$A$351037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78"/>
  <sheetViews>
    <sheetView workbookViewId="0">
      <selection activeCell="F21" sqref="F21"/>
    </sheetView>
  </sheetViews>
  <sheetFormatPr baseColWidth="10" defaultRowHeight="15"/>
  <cols>
    <col min="1" max="1" width="23" style="7" customWidth="1"/>
    <col min="2" max="2" width="15.42578125" customWidth="1"/>
    <col min="3" max="3" width="15" customWidth="1"/>
    <col min="4" max="4" width="16.5703125" customWidth="1"/>
    <col min="5" max="5" width="14" style="23" customWidth="1"/>
    <col min="6" max="7" width="19.5703125" customWidth="1"/>
    <col min="8" max="8" width="15.140625" customWidth="1"/>
    <col min="9" max="9" width="16" customWidth="1"/>
    <col min="10" max="10" width="13" customWidth="1"/>
  </cols>
  <sheetData>
    <row r="1" spans="1:9">
      <c r="A1" s="358" t="s">
        <v>5</v>
      </c>
      <c r="B1" s="359"/>
      <c r="C1" s="359"/>
      <c r="D1" s="360"/>
      <c r="F1" s="364" t="s">
        <v>241</v>
      </c>
      <c r="G1" s="365"/>
      <c r="H1" s="365"/>
      <c r="I1" s="366"/>
    </row>
    <row r="2" spans="1:9">
      <c r="A2" s="8" t="s">
        <v>0</v>
      </c>
      <c r="B2" s="9" t="s">
        <v>1</v>
      </c>
      <c r="C2" s="9" t="s">
        <v>2</v>
      </c>
      <c r="D2" s="119" t="s">
        <v>3</v>
      </c>
      <c r="F2" s="117" t="s">
        <v>238</v>
      </c>
      <c r="G2" s="117" t="s">
        <v>240</v>
      </c>
      <c r="H2" s="117" t="s">
        <v>2</v>
      </c>
      <c r="I2" s="117" t="s">
        <v>239</v>
      </c>
    </row>
    <row r="3" spans="1:9" ht="15" customHeight="1">
      <c r="A3" s="5">
        <v>2731678</v>
      </c>
      <c r="B3" s="1" t="s">
        <v>4</v>
      </c>
      <c r="C3" s="3">
        <v>77965</v>
      </c>
      <c r="D3" s="4">
        <f>24562+19772</f>
        <v>44334</v>
      </c>
      <c r="F3" s="51" t="s">
        <v>34</v>
      </c>
      <c r="G3" s="51">
        <v>7771711831</v>
      </c>
      <c r="H3" s="118">
        <v>2614787</v>
      </c>
      <c r="I3" s="118">
        <v>2614787</v>
      </c>
    </row>
    <row r="4" spans="1:9">
      <c r="A4" s="5" t="s">
        <v>6</v>
      </c>
      <c r="B4" s="1" t="s">
        <v>4</v>
      </c>
      <c r="C4" s="3">
        <v>151377</v>
      </c>
      <c r="D4" s="4">
        <v>0</v>
      </c>
      <c r="F4" s="51" t="s">
        <v>9</v>
      </c>
      <c r="G4" s="51">
        <v>7771711831</v>
      </c>
      <c r="H4" s="118">
        <v>2614787</v>
      </c>
      <c r="I4" s="118">
        <v>2614787</v>
      </c>
    </row>
    <row r="5" spans="1:9">
      <c r="A5" s="5" t="s">
        <v>7</v>
      </c>
      <c r="B5" s="1" t="s">
        <v>4</v>
      </c>
      <c r="C5" s="3">
        <v>124435</v>
      </c>
      <c r="D5" s="4">
        <v>0</v>
      </c>
      <c r="F5" s="51" t="s">
        <v>10</v>
      </c>
      <c r="G5" s="51">
        <v>7771711831</v>
      </c>
      <c r="H5" s="118">
        <v>2614787</v>
      </c>
      <c r="I5" s="118">
        <v>2614787</v>
      </c>
    </row>
    <row r="6" spans="1:9">
      <c r="A6" s="5" t="s">
        <v>8</v>
      </c>
      <c r="B6" s="1" t="s">
        <v>4</v>
      </c>
      <c r="C6" s="3">
        <f>211839.47+1630.02</f>
        <v>213469.49</v>
      </c>
      <c r="D6" s="4">
        <v>0</v>
      </c>
      <c r="F6" s="51" t="s">
        <v>35</v>
      </c>
      <c r="G6" s="51">
        <v>7771711831</v>
      </c>
      <c r="H6" s="118">
        <v>2614787</v>
      </c>
      <c r="I6" s="118">
        <v>2614787</v>
      </c>
    </row>
    <row r="7" spans="1:9">
      <c r="A7" s="5">
        <v>2832055</v>
      </c>
      <c r="B7" s="1" t="s">
        <v>4</v>
      </c>
      <c r="C7" s="3">
        <v>59630</v>
      </c>
      <c r="D7" s="4">
        <v>0</v>
      </c>
      <c r="F7" s="51" t="s">
        <v>36</v>
      </c>
      <c r="G7" s="51">
        <v>7771711831</v>
      </c>
      <c r="H7" s="118">
        <v>2614787</v>
      </c>
      <c r="I7" s="118">
        <v>2614787</v>
      </c>
    </row>
    <row r="8" spans="1:9">
      <c r="A8" s="5">
        <v>2831937</v>
      </c>
      <c r="B8" s="1" t="s">
        <v>4</v>
      </c>
      <c r="C8" s="3">
        <v>56840</v>
      </c>
      <c r="D8" s="4">
        <v>0</v>
      </c>
      <c r="F8" s="51" t="s">
        <v>37</v>
      </c>
      <c r="G8" s="51">
        <v>7771711831</v>
      </c>
      <c r="H8" s="118">
        <v>2614787</v>
      </c>
      <c r="I8" s="118">
        <v>2614787</v>
      </c>
    </row>
    <row r="9" spans="1:9">
      <c r="A9" s="5">
        <v>2731678</v>
      </c>
      <c r="B9" s="1" t="s">
        <v>9</v>
      </c>
      <c r="C9" s="3">
        <v>35260</v>
      </c>
      <c r="D9" s="4">
        <v>0</v>
      </c>
      <c r="F9" s="51" t="s">
        <v>38</v>
      </c>
      <c r="G9" s="51">
        <v>7771711831</v>
      </c>
      <c r="H9" s="118">
        <v>2614787</v>
      </c>
      <c r="I9" s="118">
        <v>2614787</v>
      </c>
    </row>
    <row r="10" spans="1:9">
      <c r="A10" s="5">
        <v>2721663</v>
      </c>
      <c r="B10" s="1" t="s">
        <v>9</v>
      </c>
      <c r="C10" s="3">
        <v>129460</v>
      </c>
      <c r="D10" s="4">
        <v>0</v>
      </c>
      <c r="F10" s="51" t="s">
        <v>39</v>
      </c>
      <c r="G10" s="51">
        <v>7771711831</v>
      </c>
      <c r="H10" s="118">
        <v>2614787</v>
      </c>
      <c r="I10" s="118">
        <v>2614787</v>
      </c>
    </row>
    <row r="11" spans="1:9">
      <c r="A11" s="5" t="s">
        <v>6</v>
      </c>
      <c r="B11" s="1" t="s">
        <v>9</v>
      </c>
      <c r="C11" s="3">
        <v>172120</v>
      </c>
      <c r="D11" s="4">
        <v>0</v>
      </c>
      <c r="F11" s="51" t="s">
        <v>40</v>
      </c>
      <c r="G11" s="51">
        <v>7771711831</v>
      </c>
      <c r="H11" s="118">
        <v>2614787</v>
      </c>
      <c r="I11" s="118">
        <v>2614787</v>
      </c>
    </row>
    <row r="12" spans="1:9">
      <c r="A12" s="5" t="s">
        <v>8</v>
      </c>
      <c r="B12" s="1" t="s">
        <v>9</v>
      </c>
      <c r="C12" s="3">
        <v>261460</v>
      </c>
      <c r="D12" s="4">
        <v>0</v>
      </c>
      <c r="F12" s="51" t="s">
        <v>41</v>
      </c>
      <c r="G12" s="51">
        <v>7771711831</v>
      </c>
      <c r="H12" s="118">
        <v>2614787</v>
      </c>
      <c r="I12" s="118">
        <v>2614787</v>
      </c>
    </row>
    <row r="13" spans="1:9">
      <c r="A13" s="5" t="s">
        <v>7</v>
      </c>
      <c r="B13" s="1" t="s">
        <v>9</v>
      </c>
      <c r="C13" s="3">
        <v>128700</v>
      </c>
      <c r="D13" s="4">
        <v>0</v>
      </c>
      <c r="F13" s="51" t="s">
        <v>42</v>
      </c>
      <c r="G13" s="51">
        <v>7771711831</v>
      </c>
      <c r="H13" s="118">
        <v>2614787</v>
      </c>
      <c r="I13" s="118">
        <v>2614787</v>
      </c>
    </row>
    <row r="14" spans="1:9">
      <c r="A14" s="5">
        <v>2721663</v>
      </c>
      <c r="B14" s="1" t="s">
        <v>10</v>
      </c>
      <c r="C14" s="3">
        <v>28100</v>
      </c>
      <c r="D14" s="4">
        <v>0</v>
      </c>
      <c r="F14" s="51" t="s">
        <v>43</v>
      </c>
      <c r="G14" s="51">
        <v>7771711831</v>
      </c>
      <c r="H14" s="118">
        <v>2614787</v>
      </c>
      <c r="I14" s="118">
        <v>2614787</v>
      </c>
    </row>
    <row r="15" spans="1:9">
      <c r="A15" s="5" t="s">
        <v>8</v>
      </c>
      <c r="B15" s="1" t="s">
        <v>11</v>
      </c>
      <c r="C15" s="3">
        <v>8860</v>
      </c>
      <c r="D15" s="4">
        <v>0</v>
      </c>
      <c r="H15" t="s">
        <v>191</v>
      </c>
      <c r="I15" s="207">
        <f>SUM(I3:I14)</f>
        <v>31377444</v>
      </c>
    </row>
    <row r="16" spans="1:9">
      <c r="A16" s="5" t="s">
        <v>8</v>
      </c>
      <c r="B16" s="1" t="s">
        <v>12</v>
      </c>
      <c r="C16" s="3">
        <v>16080</v>
      </c>
      <c r="D16" s="4">
        <v>0</v>
      </c>
    </row>
    <row r="17" spans="1:4">
      <c r="A17" s="10"/>
      <c r="B17" s="11"/>
      <c r="C17" s="12">
        <f>SUM(C3:C16)</f>
        <v>1463756.49</v>
      </c>
      <c r="D17" s="13">
        <f>SUM(D3:D16)</f>
        <v>44334</v>
      </c>
    </row>
    <row r="18" spans="1:4" ht="15.75" thickBot="1">
      <c r="A18" s="6" t="s">
        <v>14</v>
      </c>
      <c r="B18" s="2" t="s">
        <v>13</v>
      </c>
      <c r="C18" s="355">
        <v>14273640</v>
      </c>
      <c r="D18" s="356"/>
    </row>
    <row r="19" spans="1:4">
      <c r="A19" s="358" t="s">
        <v>29</v>
      </c>
      <c r="B19" s="359"/>
      <c r="C19" s="359"/>
      <c r="D19" s="360"/>
    </row>
    <row r="20" spans="1:4">
      <c r="A20" s="24" t="s">
        <v>32</v>
      </c>
      <c r="B20" s="24" t="s">
        <v>30</v>
      </c>
      <c r="C20" s="25" t="s">
        <v>33</v>
      </c>
      <c r="D20" s="22"/>
    </row>
    <row r="21" spans="1:4">
      <c r="A21" s="26" t="s">
        <v>34</v>
      </c>
      <c r="B21" s="27" t="s">
        <v>31</v>
      </c>
      <c r="C21" s="28">
        <v>99990</v>
      </c>
      <c r="D21" s="7"/>
    </row>
    <row r="22" spans="1:4">
      <c r="A22" s="354" t="s">
        <v>9</v>
      </c>
      <c r="B22" s="27" t="s">
        <v>31</v>
      </c>
      <c r="C22" s="28">
        <v>1312020</v>
      </c>
      <c r="D22" s="7"/>
    </row>
    <row r="23" spans="1:4">
      <c r="A23" s="354"/>
      <c r="B23" s="27" t="s">
        <v>31</v>
      </c>
      <c r="C23" s="28">
        <v>525130</v>
      </c>
      <c r="D23" s="7"/>
    </row>
    <row r="24" spans="1:4">
      <c r="A24" s="354" t="s">
        <v>10</v>
      </c>
      <c r="B24" s="27" t="s">
        <v>31</v>
      </c>
      <c r="C24" s="28">
        <v>100750</v>
      </c>
      <c r="D24" s="7"/>
    </row>
    <row r="25" spans="1:4">
      <c r="A25" s="354"/>
      <c r="B25" s="27" t="s">
        <v>31</v>
      </c>
      <c r="C25" s="28">
        <v>658430</v>
      </c>
      <c r="D25" s="7"/>
    </row>
    <row r="26" spans="1:4">
      <c r="A26" s="354"/>
      <c r="B26" s="27" t="s">
        <v>31</v>
      </c>
      <c r="C26" s="28">
        <v>304840</v>
      </c>
      <c r="D26" s="7"/>
    </row>
    <row r="27" spans="1:4">
      <c r="A27" s="354"/>
      <c r="B27" s="27" t="s">
        <v>31</v>
      </c>
      <c r="C27" s="28">
        <v>102740</v>
      </c>
      <c r="D27" s="7"/>
    </row>
    <row r="28" spans="1:4">
      <c r="A28" s="354" t="s">
        <v>35</v>
      </c>
      <c r="B28" s="27" t="s">
        <v>31</v>
      </c>
      <c r="C28" s="28">
        <v>640080</v>
      </c>
      <c r="D28" s="7"/>
    </row>
    <row r="29" spans="1:4">
      <c r="A29" s="354"/>
      <c r="B29" s="27" t="s">
        <v>31</v>
      </c>
      <c r="C29" s="28">
        <v>263170</v>
      </c>
      <c r="D29" s="7"/>
    </row>
    <row r="30" spans="1:4">
      <c r="A30" s="354"/>
      <c r="B30" s="27" t="s">
        <v>31</v>
      </c>
      <c r="C30" s="28">
        <v>104800</v>
      </c>
      <c r="D30" s="7"/>
    </row>
    <row r="31" spans="1:4">
      <c r="A31" s="354" t="s">
        <v>36</v>
      </c>
      <c r="B31" s="27" t="s">
        <v>31</v>
      </c>
      <c r="C31" s="28">
        <v>692410</v>
      </c>
      <c r="D31" s="7"/>
    </row>
    <row r="32" spans="1:4">
      <c r="A32" s="354"/>
      <c r="B32" s="27" t="s">
        <v>31</v>
      </c>
      <c r="C32" s="28">
        <v>202660</v>
      </c>
      <c r="D32" s="7"/>
    </row>
    <row r="33" spans="1:4">
      <c r="A33" s="354" t="s">
        <v>37</v>
      </c>
      <c r="B33" s="27" t="s">
        <v>31</v>
      </c>
      <c r="C33" s="28">
        <v>101530</v>
      </c>
      <c r="D33" s="7"/>
    </row>
    <row r="34" spans="1:4">
      <c r="A34" s="354"/>
      <c r="B34" s="27" t="s">
        <v>31</v>
      </c>
      <c r="C34" s="28">
        <v>124440</v>
      </c>
      <c r="D34" s="7"/>
    </row>
    <row r="35" spans="1:4">
      <c r="A35" s="354"/>
      <c r="B35" s="27" t="s">
        <v>31</v>
      </c>
      <c r="C35" s="28">
        <v>513340</v>
      </c>
      <c r="D35" s="7"/>
    </row>
    <row r="36" spans="1:4">
      <c r="A36" s="354"/>
      <c r="B36" s="27" t="s">
        <v>31</v>
      </c>
      <c r="C36" s="28">
        <v>376540</v>
      </c>
      <c r="D36" s="7"/>
    </row>
    <row r="37" spans="1:4">
      <c r="A37" s="354"/>
      <c r="B37" s="27" t="s">
        <v>31</v>
      </c>
      <c r="C37" s="28">
        <v>215990</v>
      </c>
      <c r="D37" s="7"/>
    </row>
    <row r="38" spans="1:4">
      <c r="A38" s="354"/>
      <c r="B38" s="27" t="s">
        <v>31</v>
      </c>
      <c r="C38" s="28">
        <v>100720</v>
      </c>
      <c r="D38" s="7"/>
    </row>
    <row r="39" spans="1:4">
      <c r="A39" s="354" t="s">
        <v>38</v>
      </c>
      <c r="B39" s="27" t="s">
        <v>31</v>
      </c>
      <c r="C39" s="28">
        <v>635570</v>
      </c>
      <c r="D39" s="7"/>
    </row>
    <row r="40" spans="1:4">
      <c r="A40" s="354"/>
      <c r="B40" s="27" t="s">
        <v>31</v>
      </c>
      <c r="C40" s="28">
        <v>346210</v>
      </c>
      <c r="D40" s="7"/>
    </row>
    <row r="41" spans="1:4">
      <c r="A41" s="354"/>
      <c r="B41" s="27" t="s">
        <v>31</v>
      </c>
      <c r="C41" s="28">
        <v>103160</v>
      </c>
      <c r="D41" s="7"/>
    </row>
    <row r="42" spans="1:4">
      <c r="A42" s="354" t="s">
        <v>39</v>
      </c>
      <c r="B42" s="27" t="s">
        <v>31</v>
      </c>
      <c r="C42" s="28">
        <v>757160</v>
      </c>
      <c r="D42" s="7"/>
    </row>
    <row r="43" spans="1:4">
      <c r="A43" s="354"/>
      <c r="B43" s="27" t="s">
        <v>31</v>
      </c>
      <c r="C43" s="28">
        <v>250140</v>
      </c>
      <c r="D43" s="7"/>
    </row>
    <row r="44" spans="1:4">
      <c r="A44" s="354" t="s">
        <v>40</v>
      </c>
      <c r="B44" s="27" t="s">
        <v>31</v>
      </c>
      <c r="C44" s="28">
        <v>1011220</v>
      </c>
      <c r="D44" s="7"/>
    </row>
    <row r="45" spans="1:4">
      <c r="A45" s="354"/>
      <c r="B45" s="27" t="s">
        <v>31</v>
      </c>
      <c r="C45" s="28">
        <v>154220</v>
      </c>
      <c r="D45" s="7"/>
    </row>
    <row r="46" spans="1:4">
      <c r="A46" s="354"/>
      <c r="B46" s="27" t="s">
        <v>31</v>
      </c>
      <c r="C46" s="28">
        <v>221350</v>
      </c>
      <c r="D46" s="7"/>
    </row>
    <row r="47" spans="1:4">
      <c r="A47" s="354" t="s">
        <v>41</v>
      </c>
      <c r="B47" s="27" t="s">
        <v>31</v>
      </c>
      <c r="C47" s="28">
        <v>856910</v>
      </c>
      <c r="D47" s="7"/>
    </row>
    <row r="48" spans="1:4">
      <c r="A48" s="354"/>
      <c r="B48" s="27" t="s">
        <v>31</v>
      </c>
      <c r="C48" s="28">
        <v>489640</v>
      </c>
      <c r="D48" s="7"/>
    </row>
    <row r="49" spans="1:4">
      <c r="A49" s="354" t="s">
        <v>42</v>
      </c>
      <c r="B49" s="27" t="s">
        <v>31</v>
      </c>
      <c r="C49" s="28">
        <v>124210</v>
      </c>
      <c r="D49" s="7"/>
    </row>
    <row r="50" spans="1:4">
      <c r="A50" s="354"/>
      <c r="B50" s="27" t="s">
        <v>31</v>
      </c>
      <c r="C50" s="28">
        <v>431720</v>
      </c>
      <c r="D50" s="7"/>
    </row>
    <row r="51" spans="1:4">
      <c r="A51" s="354"/>
      <c r="B51" s="27" t="s">
        <v>31</v>
      </c>
      <c r="C51" s="28">
        <v>261460</v>
      </c>
      <c r="D51" s="7"/>
    </row>
    <row r="52" spans="1:4">
      <c r="A52" s="354"/>
      <c r="B52" s="27" t="s">
        <v>31</v>
      </c>
      <c r="C52" s="28">
        <v>648150</v>
      </c>
      <c r="D52" s="7"/>
    </row>
    <row r="53" spans="1:4">
      <c r="A53" s="354" t="s">
        <v>43</v>
      </c>
      <c r="B53" s="27" t="s">
        <v>31</v>
      </c>
      <c r="C53" s="28">
        <v>208700</v>
      </c>
      <c r="D53" s="7"/>
    </row>
    <row r="54" spans="1:4">
      <c r="A54" s="354"/>
      <c r="B54" s="27" t="s">
        <v>31</v>
      </c>
      <c r="C54" s="28">
        <v>124430</v>
      </c>
      <c r="D54" s="7"/>
    </row>
    <row r="55" spans="1:4">
      <c r="A55" s="354"/>
      <c r="B55" s="27" t="s">
        <v>31</v>
      </c>
      <c r="C55" s="28">
        <v>803290</v>
      </c>
      <c r="D55" s="7"/>
    </row>
    <row r="56" spans="1:4">
      <c r="A56" s="354"/>
      <c r="B56" s="27" t="s">
        <v>31</v>
      </c>
      <c r="C56" s="28">
        <v>53300</v>
      </c>
      <c r="D56" s="7"/>
    </row>
    <row r="57" spans="1:4">
      <c r="A57" s="115"/>
      <c r="B57" s="44"/>
      <c r="C57" s="29">
        <f>SUM(C21:C56)</f>
        <v>13920420</v>
      </c>
      <c r="D57" s="7"/>
    </row>
    <row r="59" spans="1:4">
      <c r="A59" s="357" t="s">
        <v>121</v>
      </c>
      <c r="B59" s="357"/>
      <c r="C59" s="357"/>
      <c r="D59" s="357"/>
    </row>
    <row r="60" spans="1:4">
      <c r="A60" s="105" t="s">
        <v>122</v>
      </c>
      <c r="B60" s="105" t="s">
        <v>123</v>
      </c>
      <c r="C60" s="105" t="s">
        <v>32</v>
      </c>
      <c r="D60" s="105" t="s">
        <v>78</v>
      </c>
    </row>
    <row r="61" spans="1:4">
      <c r="A61" s="53">
        <v>1382</v>
      </c>
      <c r="B61" s="53" t="s">
        <v>31</v>
      </c>
      <c r="C61" s="53" t="s">
        <v>124</v>
      </c>
      <c r="D61" s="113">
        <v>6557019</v>
      </c>
    </row>
    <row r="62" spans="1:4">
      <c r="A62" s="53">
        <v>650</v>
      </c>
      <c r="B62" s="53" t="s">
        <v>31</v>
      </c>
      <c r="C62" s="53" t="s">
        <v>125</v>
      </c>
      <c r="D62" s="113">
        <v>4371346</v>
      </c>
    </row>
    <row r="63" spans="1:4">
      <c r="A63" s="112" t="s">
        <v>136</v>
      </c>
      <c r="B63" s="361" t="s">
        <v>38</v>
      </c>
      <c r="C63" s="362"/>
      <c r="D63" s="114">
        <v>2185673</v>
      </c>
    </row>
    <row r="64" spans="1:4">
      <c r="A64" s="112" t="s">
        <v>136</v>
      </c>
      <c r="B64" s="361" t="s">
        <v>39</v>
      </c>
      <c r="C64" s="362"/>
      <c r="D64" s="114">
        <v>2185673</v>
      </c>
    </row>
    <row r="65" spans="1:9">
      <c r="A65" s="112" t="s">
        <v>136</v>
      </c>
      <c r="B65" s="361" t="s">
        <v>40</v>
      </c>
      <c r="C65" s="362"/>
      <c r="D65" s="114">
        <v>2185673</v>
      </c>
    </row>
    <row r="66" spans="1:9">
      <c r="A66" s="112" t="s">
        <v>136</v>
      </c>
      <c r="B66" s="361" t="s">
        <v>41</v>
      </c>
      <c r="C66" s="362"/>
      <c r="D66" s="114">
        <v>2185673</v>
      </c>
    </row>
    <row r="67" spans="1:9">
      <c r="A67" s="112" t="s">
        <v>136</v>
      </c>
      <c r="B67" s="361" t="s">
        <v>42</v>
      </c>
      <c r="C67" s="362"/>
      <c r="D67" s="114">
        <v>2185673</v>
      </c>
    </row>
    <row r="68" spans="1:9">
      <c r="A68" s="112" t="s">
        <v>136</v>
      </c>
      <c r="B68" s="361" t="s">
        <v>43</v>
      </c>
      <c r="C68" s="362"/>
      <c r="D68" s="114">
        <v>2185673</v>
      </c>
    </row>
    <row r="70" spans="1:9" ht="15" customHeight="1">
      <c r="A70" s="363" t="s">
        <v>236</v>
      </c>
      <c r="B70" s="363"/>
      <c r="C70" s="363"/>
      <c r="D70" s="363"/>
      <c r="E70" s="116"/>
      <c r="F70" s="116"/>
      <c r="G70" s="116"/>
      <c r="H70" s="116"/>
      <c r="I70" s="116"/>
    </row>
    <row r="71" spans="1:9" ht="160.5" customHeight="1">
      <c r="A71" s="363"/>
      <c r="B71" s="363"/>
      <c r="C71" s="363"/>
      <c r="D71" s="363"/>
      <c r="E71" s="116"/>
      <c r="F71" s="116"/>
      <c r="G71" s="116"/>
      <c r="H71" s="116"/>
      <c r="I71" s="116"/>
    </row>
    <row r="72" spans="1:9" ht="34.5" customHeight="1">
      <c r="A72" s="363" t="s">
        <v>70</v>
      </c>
      <c r="B72" s="363"/>
      <c r="C72" s="363"/>
      <c r="D72" s="363"/>
      <c r="E72" s="79"/>
      <c r="F72" s="79"/>
      <c r="G72" s="79"/>
      <c r="H72" s="79"/>
      <c r="I72" s="79"/>
    </row>
    <row r="73" spans="1:9">
      <c r="A73" s="47" t="s">
        <v>78</v>
      </c>
      <c r="B73" s="48">
        <v>26228076</v>
      </c>
      <c r="E73"/>
    </row>
    <row r="74" spans="1:9">
      <c r="A74" s="116"/>
      <c r="B74" s="116"/>
      <c r="C74" s="116"/>
      <c r="D74" s="116"/>
      <c r="E74" s="116"/>
      <c r="F74" s="116"/>
      <c r="G74" s="116"/>
      <c r="H74" s="116"/>
      <c r="I74" s="116"/>
    </row>
    <row r="75" spans="1:9">
      <c r="A75" s="116"/>
      <c r="B75" s="116"/>
      <c r="C75" s="116"/>
      <c r="D75" s="116"/>
      <c r="E75" s="116"/>
      <c r="F75" s="116"/>
      <c r="G75" s="116"/>
      <c r="H75" s="116"/>
      <c r="I75" s="116"/>
    </row>
    <row r="76" spans="1:9">
      <c r="A76" s="116"/>
      <c r="B76" s="116"/>
      <c r="C76" s="116"/>
      <c r="D76" s="116"/>
      <c r="E76" s="116"/>
      <c r="F76" s="116"/>
      <c r="G76" s="116"/>
      <c r="H76" s="116"/>
      <c r="I76" s="116"/>
    </row>
    <row r="77" spans="1:9">
      <c r="A77" s="116"/>
      <c r="B77" s="116"/>
      <c r="C77" s="116"/>
      <c r="D77" s="116"/>
      <c r="E77" s="116"/>
      <c r="F77" s="116"/>
      <c r="G77" s="116"/>
      <c r="H77" s="116"/>
      <c r="I77" s="116"/>
    </row>
    <row r="78" spans="1:9">
      <c r="A78" s="116"/>
      <c r="B78" s="116"/>
      <c r="C78" s="116"/>
      <c r="D78" s="116"/>
      <c r="E78" s="116"/>
      <c r="F78" s="116"/>
      <c r="G78" s="116"/>
      <c r="H78" s="116"/>
      <c r="I78" s="116"/>
    </row>
  </sheetData>
  <mergeCells count="24">
    <mergeCell ref="B68:C68"/>
    <mergeCell ref="A70:D71"/>
    <mergeCell ref="A72:D72"/>
    <mergeCell ref="F1:I1"/>
    <mergeCell ref="B63:C63"/>
    <mergeCell ref="B64:C64"/>
    <mergeCell ref="B65:C65"/>
    <mergeCell ref="B66:C66"/>
    <mergeCell ref="B67:C67"/>
    <mergeCell ref="A49:A52"/>
    <mergeCell ref="A53:A56"/>
    <mergeCell ref="A31:A32"/>
    <mergeCell ref="A33:A38"/>
    <mergeCell ref="A39:A41"/>
    <mergeCell ref="A42:A43"/>
    <mergeCell ref="A44:A46"/>
    <mergeCell ref="A47:A48"/>
    <mergeCell ref="C18:D18"/>
    <mergeCell ref="A59:D59"/>
    <mergeCell ref="A1:D1"/>
    <mergeCell ref="A19:D19"/>
    <mergeCell ref="A22:A23"/>
    <mergeCell ref="A24:A27"/>
    <mergeCell ref="A28:A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MANTENIMIENTO VH 2020</vt:lpstr>
      <vt:lpstr>Relación de entrega de papel SC</vt:lpstr>
      <vt:lpstr>Consolidado de papel 2020</vt:lpstr>
      <vt:lpstr>COMBUSTIBLE VH ALSC 2020</vt:lpstr>
      <vt:lpstr>Agua</vt:lpstr>
      <vt:lpstr>COMUNICACIONES 2020</vt:lpstr>
      <vt:lpstr>Fotocopiado</vt:lpstr>
      <vt:lpstr>Energía </vt:lpstr>
      <vt:lpstr>Telefonía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Piga Scristobal</dc:creator>
  <cp:lastModifiedBy>Gustavo Adolfo Morales Osorio</cp:lastModifiedBy>
  <dcterms:created xsi:type="dcterms:W3CDTF">2018-07-26T13:48:42Z</dcterms:created>
  <dcterms:modified xsi:type="dcterms:W3CDTF">2021-02-23T21:28:59Z</dcterms:modified>
</cp:coreProperties>
</file>